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3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drawings/drawing3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3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drawings/drawing33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drawings/drawing38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drawings/drawing36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90" yWindow="-45" windowWidth="8760" windowHeight="7500"/>
  </bookViews>
  <sheets>
    <sheet name="DRRM Funds -Mam Gina'17 " sheetId="96" r:id="rId1"/>
    <sheet name="DRRM Funds -Mar'17" sheetId="95" r:id="rId2"/>
    <sheet name="DRRM Funds -Feb'17 " sheetId="94" r:id="rId3"/>
    <sheet name="DRRM Funds -Jan'17" sheetId="93" r:id="rId4"/>
    <sheet name="Summary'16" sheetId="90" r:id="rId5"/>
    <sheet name="FY 2016 " sheetId="91" r:id="rId6"/>
    <sheet name="FY 2017" sheetId="92" r:id="rId7"/>
    <sheet name="DRRM Funds -Dec'16Mam Gina" sheetId="88" r:id="rId8"/>
    <sheet name="DRRM Funds -Dec'16" sheetId="87" r:id="rId9"/>
    <sheet name="DRRM Funds -Nov'16" sheetId="86" r:id="rId10"/>
    <sheet name="DRRM Funds -Oct'16" sheetId="85" r:id="rId11"/>
    <sheet name="DRRM Funds MamGina-sept" sheetId="84" r:id="rId12"/>
    <sheet name="DRRM Funds Sept2016" sheetId="83" r:id="rId13"/>
    <sheet name="DRRM Funds Aug 2016" sheetId="82" r:id="rId14"/>
    <sheet name="DRRM Funds July 2016" sheetId="81" r:id="rId15"/>
    <sheet name="DRRM Funds JuneMam Gina" sheetId="80" r:id="rId16"/>
    <sheet name="DRRM Funds June 2016 " sheetId="79" r:id="rId17"/>
    <sheet name="DRRM Funds May2016" sheetId="78" r:id="rId18"/>
    <sheet name="DRRM Funds Apr'2016" sheetId="77" r:id="rId19"/>
    <sheet name="DRRM-MamGina- MAR'2016DILG" sheetId="75" r:id="rId20"/>
    <sheet name="DRRM Funds MAR'2016 " sheetId="74" r:id="rId21"/>
    <sheet name="DRRM Funds FEB'2016 " sheetId="73" r:id="rId22"/>
    <sheet name="DRRM Funds JAN'2016" sheetId="72" r:id="rId23"/>
    <sheet name="DRRM Funds Dec'2015COA" sheetId="71" r:id="rId24"/>
    <sheet name="DRRM Funds Dec'2015DILG" sheetId="70" r:id="rId25"/>
    <sheet name="DRRM Funds Dec'2015" sheetId="69" r:id="rId26"/>
    <sheet name="DRRM Funds Nov'2015" sheetId="68" r:id="rId27"/>
    <sheet name="DRRM Funds Oct2015" sheetId="67" r:id="rId28"/>
    <sheet name="SUMMARY" sheetId="65" r:id="rId29"/>
    <sheet name="DRRM Funds Sept2015DILG" sheetId="66" r:id="rId30"/>
    <sheet name="DRRM Funds Sept2015" sheetId="64" r:id="rId31"/>
    <sheet name="DRRM Funds Aug2015" sheetId="63" r:id="rId32"/>
    <sheet name="DRRM Funds July2015" sheetId="62" r:id="rId33"/>
    <sheet name="DRRM Funds June2015 Rev" sheetId="61" r:id="rId34"/>
    <sheet name="DRRM Funds May2015 Rev " sheetId="60" r:id="rId35"/>
    <sheet name="DRRM Funds Apr2015 Rev" sheetId="59" r:id="rId36"/>
    <sheet name="DRRM Funds Mar2015 Rev" sheetId="58" r:id="rId37"/>
    <sheet name="DRRM Funds Feb 2015 Rev" sheetId="56" r:id="rId38"/>
    <sheet name="DRRM Funds January 2015" sheetId="51" r:id="rId39"/>
    <sheet name=" Receipts &amp; Utilization2014" sheetId="48" r:id="rId40"/>
    <sheet name="DRRM Funds Dec 2014" sheetId="46" r:id="rId41"/>
    <sheet name="DRRM Funds Nov 2014  " sheetId="45" r:id="rId42"/>
    <sheet name="DRRM Funds Oct 2014 " sheetId="44" r:id="rId43"/>
    <sheet name="DRRM Funds Sept 2014" sheetId="43" r:id="rId44"/>
    <sheet name="DRRM Funds Aug 2014 -final" sheetId="42" r:id="rId45"/>
    <sheet name="DRRM Funds Aug 2014" sheetId="41" r:id="rId46"/>
    <sheet name="LDRRM Funds 2013" sheetId="36" r:id="rId47"/>
    <sheet name="DRRM Funds July 2014 " sheetId="40" r:id="rId48"/>
    <sheet name="DRRM Funds June 2014" sheetId="39" r:id="rId49"/>
    <sheet name="DRRM Funds May 2014 " sheetId="38" r:id="rId50"/>
    <sheet name="DRRM Funds April 2014" sheetId="37" r:id="rId51"/>
    <sheet name="DRRM Funds March 2014 " sheetId="35" r:id="rId52"/>
    <sheet name="DRRM Funds Feb 2014 " sheetId="34" r:id="rId53"/>
    <sheet name="DRRM Funds Jan 2014" sheetId="33" r:id="rId54"/>
    <sheet name="Fund Investment plan" sheetId="32" r:id="rId55"/>
    <sheet name=" Receipts &amp; Utilization2013" sheetId="5" r:id="rId56"/>
  </sheets>
  <definedNames>
    <definedName name="_xlnm.Print_Area" localSheetId="55">' Receipts &amp; Utilization2013'!$A$1:$L$49</definedName>
    <definedName name="_xlnm.Print_Area" localSheetId="39">' Receipts &amp; Utilization2014'!$A$1:$L$49</definedName>
    <definedName name="_xlnm.Print_Area" localSheetId="35">'DRRM Funds Apr2015 Rev'!$A$1:$J$54</definedName>
    <definedName name="_xlnm.Print_Area" localSheetId="18">'DRRM Funds Apr''2016'!$A$1:$J$55</definedName>
    <definedName name="_xlnm.Print_Area" localSheetId="50">'DRRM Funds April 2014'!$A$1:$J$52</definedName>
    <definedName name="_xlnm.Print_Area" localSheetId="45">'DRRM Funds Aug 2014'!$A$1:$J$52</definedName>
    <definedName name="_xlnm.Print_Area" localSheetId="44">'DRRM Funds Aug 2014 -final'!$A$1:$J$52</definedName>
    <definedName name="_xlnm.Print_Area" localSheetId="13">'DRRM Funds Aug 2016'!$A$1:$J$55</definedName>
    <definedName name="_xlnm.Print_Area" localSheetId="31">'DRRM Funds Aug2015'!$A$1:$J$54</definedName>
    <definedName name="_xlnm.Print_Area" localSheetId="40">'DRRM Funds Dec 2014'!$A$1:$J$54</definedName>
    <definedName name="_xlnm.Print_Area" localSheetId="8">'DRRM Funds -Dec''16'!$A$1:$J$55</definedName>
    <definedName name="_xlnm.Print_Area" localSheetId="7">'DRRM Funds -Dec''16Mam Gina'!$A$1:$J$55</definedName>
    <definedName name="_xlnm.Print_Area" localSheetId="25">'DRRM Funds Dec''2015'!$A$1:$J$55</definedName>
    <definedName name="_xlnm.Print_Area" localSheetId="23">'DRRM Funds Dec''2015COA'!$A$1:$J$55</definedName>
    <definedName name="_xlnm.Print_Area" localSheetId="24">'DRRM Funds Dec''2015DILG'!$A$1:$J$55</definedName>
    <definedName name="_xlnm.Print_Area" localSheetId="52">'DRRM Funds Feb 2014 '!$A$1:$J$52</definedName>
    <definedName name="_xlnm.Print_Area" localSheetId="37">'DRRM Funds Feb 2015 Rev'!$A$1:$J$54</definedName>
    <definedName name="_xlnm.Print_Area" localSheetId="2">'DRRM Funds -Feb''17 '!$A$1:$J$55</definedName>
    <definedName name="_xlnm.Print_Area" localSheetId="21">'DRRM Funds FEB''2016 '!$A$1:$J$55</definedName>
    <definedName name="_xlnm.Print_Area" localSheetId="53">'DRRM Funds Jan 2014'!$A$1:$J$52</definedName>
    <definedName name="_xlnm.Print_Area" localSheetId="3">'DRRM Funds -Jan''17'!$A$1:$J$55</definedName>
    <definedName name="_xlnm.Print_Area" localSheetId="22">'DRRM Funds JAN''2016'!$A$1:$J$55</definedName>
    <definedName name="_xlnm.Print_Area" localSheetId="38">'DRRM Funds January 2015'!$A$1:$J$54</definedName>
    <definedName name="_xlnm.Print_Area" localSheetId="47">'DRRM Funds July 2014 '!$A$1:$J$52</definedName>
    <definedName name="_xlnm.Print_Area" localSheetId="14">'DRRM Funds July 2016'!$A$1:$J$55</definedName>
    <definedName name="_xlnm.Print_Area" localSheetId="32">'DRRM Funds July2015'!$A$1:$J$54</definedName>
    <definedName name="_xlnm.Print_Area" localSheetId="48">'DRRM Funds June 2014'!$A$1:$J$52</definedName>
    <definedName name="_xlnm.Print_Area" localSheetId="16">'DRRM Funds June 2016 '!$A$1:$J$55</definedName>
    <definedName name="_xlnm.Print_Area" localSheetId="33">'DRRM Funds June2015 Rev'!$A$1:$J$54</definedName>
    <definedName name="_xlnm.Print_Area" localSheetId="15">'DRRM Funds JuneMam Gina'!$A$1:$J$55</definedName>
    <definedName name="_xlnm.Print_Area" localSheetId="0">'DRRM Funds -Mam Gina''17 '!$A$1:$J$55</definedName>
    <definedName name="_xlnm.Print_Area" localSheetId="11">'DRRM Funds MamGina-sept'!$A$1:$J$55</definedName>
    <definedName name="_xlnm.Print_Area" localSheetId="1">'DRRM Funds -Mar''17'!$A$1:$J$55</definedName>
    <definedName name="_xlnm.Print_Area" localSheetId="36">'DRRM Funds Mar2015 Rev'!$A$1:$J$55</definedName>
    <definedName name="_xlnm.Print_Area" localSheetId="20">'DRRM Funds MAR''2016 '!$A$1:$J$55</definedName>
    <definedName name="_xlnm.Print_Area" localSheetId="51">'DRRM Funds March 2014 '!$A$1:$J$52</definedName>
    <definedName name="_xlnm.Print_Area" localSheetId="49">'DRRM Funds May 2014 '!$A$1:$J$52</definedName>
    <definedName name="_xlnm.Print_Area" localSheetId="34">'DRRM Funds May2015 Rev '!$A$1:$J$55</definedName>
    <definedName name="_xlnm.Print_Area" localSheetId="17">'DRRM Funds May2016'!$A$1:$J$55</definedName>
    <definedName name="_xlnm.Print_Area" localSheetId="41">'DRRM Funds Nov 2014  '!$A$1:$J$52</definedName>
    <definedName name="_xlnm.Print_Area" localSheetId="9">'DRRM Funds -Nov''16'!$A$1:$J$55</definedName>
    <definedName name="_xlnm.Print_Area" localSheetId="26">'DRRM Funds Nov''2015'!$A$1:$J$55</definedName>
    <definedName name="_xlnm.Print_Area" localSheetId="42">'DRRM Funds Oct 2014 '!$A$1:$J$52</definedName>
    <definedName name="_xlnm.Print_Area" localSheetId="10">'DRRM Funds -Oct''16'!$A$1:$J$55</definedName>
    <definedName name="_xlnm.Print_Area" localSheetId="27">'DRRM Funds Oct2015'!$A$1:$J$54</definedName>
    <definedName name="_xlnm.Print_Area" localSheetId="43">'DRRM Funds Sept 2014'!$A$1:$J$52</definedName>
    <definedName name="_xlnm.Print_Area" localSheetId="30">'DRRM Funds Sept2015'!$A$1:$J$54</definedName>
    <definedName name="_xlnm.Print_Area" localSheetId="29">'DRRM Funds Sept2015DILG'!$A$1:$J$54</definedName>
    <definedName name="_xlnm.Print_Area" localSheetId="12">'DRRM Funds Sept2016'!$A$1:$J$55</definedName>
    <definedName name="_xlnm.Print_Area" localSheetId="19">'DRRM-MamGina- MAR''2016DILG'!$A$1:$J$55</definedName>
    <definedName name="_xlnm.Print_Area" localSheetId="54">'Fund Investment plan'!$A$1:$J$35</definedName>
    <definedName name="_xlnm.Print_Area" localSheetId="46">'LDRRM Funds 2013'!$A$1:$I$53</definedName>
  </definedNames>
  <calcPr calcId="124519"/>
</workbook>
</file>

<file path=xl/calcChain.xml><?xml version="1.0" encoding="utf-8"?>
<calcChain xmlns="http://schemas.openxmlformats.org/spreadsheetml/2006/main">
  <c r="J76" i="96"/>
  <c r="H76"/>
  <c r="M73"/>
  <c r="J70"/>
  <c r="M66"/>
  <c r="M68" s="1"/>
  <c r="I64"/>
  <c r="I66" s="1"/>
  <c r="L63"/>
  <c r="J62"/>
  <c r="J64" s="1"/>
  <c r="M60"/>
  <c r="M62" s="1"/>
  <c r="B60"/>
  <c r="B64" s="1"/>
  <c r="M52"/>
  <c r="J44"/>
  <c r="I44"/>
  <c r="H44"/>
  <c r="G44"/>
  <c r="F44"/>
  <c r="E44"/>
  <c r="M44" s="1"/>
  <c r="I43"/>
  <c r="I45" s="1"/>
  <c r="H43"/>
  <c r="H45" s="1"/>
  <c r="G43"/>
  <c r="G45" s="1"/>
  <c r="E43"/>
  <c r="K42"/>
  <c r="J42"/>
  <c r="K41"/>
  <c r="J41"/>
  <c r="K40"/>
  <c r="J40"/>
  <c r="J39"/>
  <c r="K38"/>
  <c r="J38"/>
  <c r="K37"/>
  <c r="J37"/>
  <c r="K36"/>
  <c r="J36"/>
  <c r="L35"/>
  <c r="L45" s="1"/>
  <c r="M46" s="1"/>
  <c r="K35"/>
  <c r="J35"/>
  <c r="J34"/>
  <c r="M33"/>
  <c r="J33"/>
  <c r="J32"/>
  <c r="J31"/>
  <c r="J30"/>
  <c r="K29"/>
  <c r="J29"/>
  <c r="K28"/>
  <c r="J28"/>
  <c r="K27"/>
  <c r="J27"/>
  <c r="K26"/>
  <c r="J26"/>
  <c r="J25"/>
  <c r="F25"/>
  <c r="F43" s="1"/>
  <c r="F45" s="1"/>
  <c r="J24"/>
  <c r="L23"/>
  <c r="K23"/>
  <c r="J23"/>
  <c r="J22"/>
  <c r="J43" s="1"/>
  <c r="J45" s="1"/>
  <c r="K21"/>
  <c r="J19"/>
  <c r="I19"/>
  <c r="H19"/>
  <c r="G19"/>
  <c r="F19"/>
  <c r="E19"/>
  <c r="K19" s="1"/>
  <c r="M18"/>
  <c r="M19" s="1"/>
  <c r="I18"/>
  <c r="I20" s="1"/>
  <c r="I46" s="1"/>
  <c r="H18"/>
  <c r="H20" s="1"/>
  <c r="H46" s="1"/>
  <c r="G18"/>
  <c r="G20" s="1"/>
  <c r="G46" s="1"/>
  <c r="K17"/>
  <c r="J17"/>
  <c r="M15"/>
  <c r="L15"/>
  <c r="J44" i="95"/>
  <c r="I44"/>
  <c r="H44"/>
  <c r="G44"/>
  <c r="F44"/>
  <c r="E44"/>
  <c r="J19"/>
  <c r="I19"/>
  <c r="H19"/>
  <c r="G19"/>
  <c r="F19"/>
  <c r="E19"/>
  <c r="J36"/>
  <c r="K36"/>
  <c r="F25"/>
  <c r="M18"/>
  <c r="J76"/>
  <c r="H76"/>
  <c r="M73"/>
  <c r="J70"/>
  <c r="M66"/>
  <c r="M68" s="1"/>
  <c r="I64"/>
  <c r="I66" s="1"/>
  <c r="L63"/>
  <c r="J62"/>
  <c r="J64" s="1"/>
  <c r="M60"/>
  <c r="M62" s="1"/>
  <c r="B60"/>
  <c r="B64" s="1"/>
  <c r="M52"/>
  <c r="M44"/>
  <c r="I43"/>
  <c r="I45" s="1"/>
  <c r="H43"/>
  <c r="H45" s="1"/>
  <c r="G43"/>
  <c r="G45" s="1"/>
  <c r="F43"/>
  <c r="F45" s="1"/>
  <c r="E43"/>
  <c r="K42"/>
  <c r="J42"/>
  <c r="K41"/>
  <c r="J41"/>
  <c r="K40"/>
  <c r="J40"/>
  <c r="J39"/>
  <c r="K38"/>
  <c r="J38"/>
  <c r="K37"/>
  <c r="J37"/>
  <c r="L35"/>
  <c r="L45" s="1"/>
  <c r="M46" s="1"/>
  <c r="K35"/>
  <c r="J35"/>
  <c r="J34"/>
  <c r="M33"/>
  <c r="J33"/>
  <c r="J32"/>
  <c r="J31"/>
  <c r="J30"/>
  <c r="K29"/>
  <c r="J29"/>
  <c r="K28"/>
  <c r="J28"/>
  <c r="K27"/>
  <c r="J27"/>
  <c r="K26"/>
  <c r="J26"/>
  <c r="K25"/>
  <c r="J25"/>
  <c r="J24"/>
  <c r="L23"/>
  <c r="K23"/>
  <c r="J23"/>
  <c r="J22"/>
  <c r="K21"/>
  <c r="M19"/>
  <c r="I18"/>
  <c r="H18"/>
  <c r="H20" s="1"/>
  <c r="H46" s="1"/>
  <c r="G18"/>
  <c r="K17"/>
  <c r="J17"/>
  <c r="M15"/>
  <c r="L15"/>
  <c r="J44" i="94"/>
  <c r="I44"/>
  <c r="H44"/>
  <c r="H45" s="1"/>
  <c r="G44"/>
  <c r="F44"/>
  <c r="F45" s="1"/>
  <c r="E44"/>
  <c r="I45"/>
  <c r="G45"/>
  <c r="J19"/>
  <c r="I19"/>
  <c r="H19"/>
  <c r="G19"/>
  <c r="F19"/>
  <c r="E19"/>
  <c r="K19" s="1"/>
  <c r="M18"/>
  <c r="J76"/>
  <c r="H76"/>
  <c r="M73"/>
  <c r="J70"/>
  <c r="M66"/>
  <c r="M68" s="1"/>
  <c r="I64"/>
  <c r="I66" s="1"/>
  <c r="L63"/>
  <c r="J62"/>
  <c r="J64" s="1"/>
  <c r="M60"/>
  <c r="M62" s="1"/>
  <c r="B60"/>
  <c r="B64" s="1"/>
  <c r="M52"/>
  <c r="I43"/>
  <c r="H43"/>
  <c r="G43"/>
  <c r="F43"/>
  <c r="E43"/>
  <c r="K42"/>
  <c r="J42"/>
  <c r="K41"/>
  <c r="J41"/>
  <c r="K40"/>
  <c r="J40"/>
  <c r="J39"/>
  <c r="K38"/>
  <c r="J38"/>
  <c r="K37"/>
  <c r="J37"/>
  <c r="K36"/>
  <c r="J36"/>
  <c r="L35"/>
  <c r="L45" s="1"/>
  <c r="M46" s="1"/>
  <c r="K35"/>
  <c r="J35"/>
  <c r="J34"/>
  <c r="M33"/>
  <c r="J33"/>
  <c r="J32"/>
  <c r="J31"/>
  <c r="J30"/>
  <c r="K29"/>
  <c r="J29"/>
  <c r="K28"/>
  <c r="J28"/>
  <c r="K27"/>
  <c r="J27"/>
  <c r="K26"/>
  <c r="J26"/>
  <c r="K25"/>
  <c r="J25"/>
  <c r="J24"/>
  <c r="L23"/>
  <c r="K23"/>
  <c r="J23"/>
  <c r="J22"/>
  <c r="K21"/>
  <c r="M19"/>
  <c r="E13" s="1"/>
  <c r="E18" s="1"/>
  <c r="I18"/>
  <c r="I20" s="1"/>
  <c r="I46" s="1"/>
  <c r="H18"/>
  <c r="H20" s="1"/>
  <c r="H46" s="1"/>
  <c r="G18"/>
  <c r="G20" s="1"/>
  <c r="G46" s="1"/>
  <c r="J17"/>
  <c r="K17"/>
  <c r="M15"/>
  <c r="L15"/>
  <c r="F13"/>
  <c r="F18" s="1"/>
  <c r="F20" s="1"/>
  <c r="F46" s="1"/>
  <c r="J44" i="93"/>
  <c r="J14"/>
  <c r="M33"/>
  <c r="I44"/>
  <c r="H44"/>
  <c r="G44"/>
  <c r="E45"/>
  <c r="G45"/>
  <c r="H45"/>
  <c r="I45"/>
  <c r="E46"/>
  <c r="G46"/>
  <c r="H46"/>
  <c r="I46"/>
  <c r="J16"/>
  <c r="J76"/>
  <c r="H76"/>
  <c r="M73"/>
  <c r="J70"/>
  <c r="M68"/>
  <c r="M66"/>
  <c r="I64"/>
  <c r="I66" s="1"/>
  <c r="L63"/>
  <c r="J62"/>
  <c r="J64" s="1"/>
  <c r="M60"/>
  <c r="M62" s="1"/>
  <c r="B60"/>
  <c r="B64" s="1"/>
  <c r="M52"/>
  <c r="M44"/>
  <c r="I43"/>
  <c r="H43"/>
  <c r="G43"/>
  <c r="F43"/>
  <c r="F45" s="1"/>
  <c r="E43"/>
  <c r="K42"/>
  <c r="J42"/>
  <c r="K41"/>
  <c r="J41"/>
  <c r="K40"/>
  <c r="J40"/>
  <c r="J39"/>
  <c r="K38"/>
  <c r="J38"/>
  <c r="K37"/>
  <c r="J37"/>
  <c r="K36"/>
  <c r="J36"/>
  <c r="L35"/>
  <c r="L45" s="1"/>
  <c r="M46" s="1"/>
  <c r="K35"/>
  <c r="J35"/>
  <c r="J34"/>
  <c r="J33"/>
  <c r="J32"/>
  <c r="J31"/>
  <c r="J30"/>
  <c r="K29"/>
  <c r="J29"/>
  <c r="K28"/>
  <c r="J28"/>
  <c r="K27"/>
  <c r="J27"/>
  <c r="K26"/>
  <c r="J26"/>
  <c r="K25"/>
  <c r="J25"/>
  <c r="J24"/>
  <c r="L23"/>
  <c r="K23"/>
  <c r="J23"/>
  <c r="J22"/>
  <c r="K21"/>
  <c r="K19"/>
  <c r="M19"/>
  <c r="I18"/>
  <c r="I20" s="1"/>
  <c r="H18"/>
  <c r="H20" s="1"/>
  <c r="G18"/>
  <c r="G20" s="1"/>
  <c r="K17"/>
  <c r="J17"/>
  <c r="M15"/>
  <c r="L15"/>
  <c r="E14" i="92"/>
  <c r="E9"/>
  <c r="E3"/>
  <c r="E15" i="91"/>
  <c r="E10"/>
  <c r="E3"/>
  <c r="C33" i="90"/>
  <c r="C36" s="1"/>
  <c r="E33"/>
  <c r="F29"/>
  <c r="F28"/>
  <c r="F27"/>
  <c r="F26"/>
  <c r="K25"/>
  <c r="F25"/>
  <c r="F24"/>
  <c r="F23"/>
  <c r="F22"/>
  <c r="F21"/>
  <c r="J76" i="88"/>
  <c r="H76"/>
  <c r="M73"/>
  <c r="J70"/>
  <c r="M68"/>
  <c r="M66"/>
  <c r="I64"/>
  <c r="I66" s="1"/>
  <c r="L63"/>
  <c r="J62"/>
  <c r="J64" s="1"/>
  <c r="M60"/>
  <c r="M62" s="1"/>
  <c r="B60"/>
  <c r="B64" s="1"/>
  <c r="M52"/>
  <c r="I43"/>
  <c r="H43"/>
  <c r="G43"/>
  <c r="F43"/>
  <c r="E43"/>
  <c r="K43" s="1"/>
  <c r="K42"/>
  <c r="J42"/>
  <c r="K41"/>
  <c r="J41"/>
  <c r="K40"/>
  <c r="J40"/>
  <c r="J39"/>
  <c r="K38"/>
  <c r="J38"/>
  <c r="K37"/>
  <c r="J37"/>
  <c r="K36"/>
  <c r="J36"/>
  <c r="L35"/>
  <c r="L45" s="1"/>
  <c r="M46" s="1"/>
  <c r="K35"/>
  <c r="J35"/>
  <c r="J34"/>
  <c r="J33"/>
  <c r="M32"/>
  <c r="J32"/>
  <c r="J31"/>
  <c r="J30"/>
  <c r="K29"/>
  <c r="J29"/>
  <c r="K28"/>
  <c r="J28"/>
  <c r="K27"/>
  <c r="J27"/>
  <c r="K26"/>
  <c r="J26"/>
  <c r="K25"/>
  <c r="J25"/>
  <c r="J24"/>
  <c r="L23"/>
  <c r="K23"/>
  <c r="J23"/>
  <c r="J22"/>
  <c r="J43" s="1"/>
  <c r="K21"/>
  <c r="M18"/>
  <c r="M19" s="1"/>
  <c r="I18"/>
  <c r="H18"/>
  <c r="G18"/>
  <c r="K17"/>
  <c r="J17"/>
  <c r="M15"/>
  <c r="L15"/>
  <c r="M18" i="87"/>
  <c r="J76"/>
  <c r="H76"/>
  <c r="M73"/>
  <c r="J70"/>
  <c r="M66"/>
  <c r="M68" s="1"/>
  <c r="I64"/>
  <c r="I66" s="1"/>
  <c r="L63"/>
  <c r="J62"/>
  <c r="J64" s="1"/>
  <c r="M60"/>
  <c r="M62" s="1"/>
  <c r="B60"/>
  <c r="B64" s="1"/>
  <c r="M52"/>
  <c r="I43"/>
  <c r="H43"/>
  <c r="G43"/>
  <c r="F43"/>
  <c r="E43"/>
  <c r="K42"/>
  <c r="J42"/>
  <c r="K41"/>
  <c r="J41"/>
  <c r="K40"/>
  <c r="J40"/>
  <c r="J39"/>
  <c r="K38"/>
  <c r="J38"/>
  <c r="K37"/>
  <c r="J37"/>
  <c r="K36"/>
  <c r="J36"/>
  <c r="L35"/>
  <c r="L45" s="1"/>
  <c r="M46" s="1"/>
  <c r="K35"/>
  <c r="J35"/>
  <c r="J34"/>
  <c r="J33"/>
  <c r="M32"/>
  <c r="J32"/>
  <c r="J31"/>
  <c r="J30"/>
  <c r="K29"/>
  <c r="J29"/>
  <c r="K28"/>
  <c r="J28"/>
  <c r="K27"/>
  <c r="J27"/>
  <c r="K26"/>
  <c r="J26"/>
  <c r="K25"/>
  <c r="J25"/>
  <c r="J24"/>
  <c r="L23"/>
  <c r="K23"/>
  <c r="J23"/>
  <c r="J22"/>
  <c r="K21"/>
  <c r="M19"/>
  <c r="I18"/>
  <c r="H18"/>
  <c r="G18"/>
  <c r="K17"/>
  <c r="J17"/>
  <c r="M15"/>
  <c r="L15"/>
  <c r="M18" i="86"/>
  <c r="F43"/>
  <c r="J76"/>
  <c r="H76"/>
  <c r="M73"/>
  <c r="J70"/>
  <c r="M66"/>
  <c r="M68" s="1"/>
  <c r="I64"/>
  <c r="I66" s="1"/>
  <c r="L63"/>
  <c r="J62"/>
  <c r="J64" s="1"/>
  <c r="M60"/>
  <c r="M62" s="1"/>
  <c r="B60"/>
  <c r="B64" s="1"/>
  <c r="M52"/>
  <c r="I43"/>
  <c r="H43"/>
  <c r="G43"/>
  <c r="E43"/>
  <c r="K42"/>
  <c r="J42"/>
  <c r="K41"/>
  <c r="J41"/>
  <c r="K40"/>
  <c r="J40"/>
  <c r="J39"/>
  <c r="K38"/>
  <c r="J38"/>
  <c r="K37"/>
  <c r="J37"/>
  <c r="K36"/>
  <c r="J36"/>
  <c r="L35"/>
  <c r="L45" s="1"/>
  <c r="M46" s="1"/>
  <c r="K35"/>
  <c r="J35"/>
  <c r="J34"/>
  <c r="J33"/>
  <c r="M32"/>
  <c r="J32"/>
  <c r="J31"/>
  <c r="J30"/>
  <c r="K29"/>
  <c r="J29"/>
  <c r="K28"/>
  <c r="J28"/>
  <c r="K27"/>
  <c r="J27"/>
  <c r="K26"/>
  <c r="J26"/>
  <c r="K25"/>
  <c r="J25"/>
  <c r="J24"/>
  <c r="L23"/>
  <c r="K23"/>
  <c r="J23"/>
  <c r="J22"/>
  <c r="K21"/>
  <c r="M19"/>
  <c r="I18"/>
  <c r="H18"/>
  <c r="G18"/>
  <c r="K17"/>
  <c r="J17"/>
  <c r="M15"/>
  <c r="L15"/>
  <c r="M19" i="85"/>
  <c r="M18"/>
  <c r="J76"/>
  <c r="H76"/>
  <c r="M73"/>
  <c r="J70"/>
  <c r="M68"/>
  <c r="M66"/>
  <c r="I64"/>
  <c r="I66" s="1"/>
  <c r="L63"/>
  <c r="J62"/>
  <c r="J64" s="1"/>
  <c r="M60"/>
  <c r="M62" s="1"/>
  <c r="B60"/>
  <c r="B64" s="1"/>
  <c r="M52"/>
  <c r="I43"/>
  <c r="H43"/>
  <c r="G43"/>
  <c r="F43"/>
  <c r="E43"/>
  <c r="K42"/>
  <c r="J42"/>
  <c r="K41"/>
  <c r="J41"/>
  <c r="K40"/>
  <c r="J40"/>
  <c r="J39"/>
  <c r="K38"/>
  <c r="J38"/>
  <c r="K37"/>
  <c r="J37"/>
  <c r="K36"/>
  <c r="J36"/>
  <c r="L35"/>
  <c r="L45" s="1"/>
  <c r="M46" s="1"/>
  <c r="K35"/>
  <c r="J35"/>
  <c r="J34"/>
  <c r="J33"/>
  <c r="M32"/>
  <c r="J32"/>
  <c r="J31"/>
  <c r="J30"/>
  <c r="K29"/>
  <c r="J29"/>
  <c r="K28"/>
  <c r="J28"/>
  <c r="K27"/>
  <c r="J27"/>
  <c r="K26"/>
  <c r="J26"/>
  <c r="K25"/>
  <c r="J25"/>
  <c r="J24"/>
  <c r="L23"/>
  <c r="K23"/>
  <c r="J23"/>
  <c r="J22"/>
  <c r="K21"/>
  <c r="I18"/>
  <c r="H18"/>
  <c r="G18"/>
  <c r="K17"/>
  <c r="J17"/>
  <c r="M15"/>
  <c r="L15"/>
  <c r="J76" i="84"/>
  <c r="H76"/>
  <c r="M73"/>
  <c r="J70"/>
  <c r="M66"/>
  <c r="M68" s="1"/>
  <c r="I64"/>
  <c r="I66" s="1"/>
  <c r="L63"/>
  <c r="J62"/>
  <c r="J64" s="1"/>
  <c r="M60"/>
  <c r="M62" s="1"/>
  <c r="B60"/>
  <c r="B64" s="1"/>
  <c r="M52"/>
  <c r="I43"/>
  <c r="H43"/>
  <c r="G43"/>
  <c r="F43"/>
  <c r="E43"/>
  <c r="K43" s="1"/>
  <c r="K42"/>
  <c r="J42"/>
  <c r="K41"/>
  <c r="J41"/>
  <c r="K40"/>
  <c r="J40"/>
  <c r="J39"/>
  <c r="K38"/>
  <c r="J38"/>
  <c r="K37"/>
  <c r="J37"/>
  <c r="K36"/>
  <c r="J36"/>
  <c r="L35"/>
  <c r="L45" s="1"/>
  <c r="M46" s="1"/>
  <c r="K35"/>
  <c r="J35"/>
  <c r="J34"/>
  <c r="J33"/>
  <c r="M32"/>
  <c r="J32"/>
  <c r="J31"/>
  <c r="J30"/>
  <c r="K29"/>
  <c r="J29"/>
  <c r="K28"/>
  <c r="J28"/>
  <c r="K27"/>
  <c r="J27"/>
  <c r="K26"/>
  <c r="J26"/>
  <c r="K25"/>
  <c r="J25"/>
  <c r="J24"/>
  <c r="L23"/>
  <c r="K23"/>
  <c r="J23"/>
  <c r="J22"/>
  <c r="J43" s="1"/>
  <c r="K21"/>
  <c r="M18"/>
  <c r="M19" s="1"/>
  <c r="I18"/>
  <c r="H18"/>
  <c r="G18"/>
  <c r="K17"/>
  <c r="J17"/>
  <c r="M15"/>
  <c r="L15"/>
  <c r="M18" i="83"/>
  <c r="J76"/>
  <c r="H76"/>
  <c r="M73"/>
  <c r="J70"/>
  <c r="M68"/>
  <c r="M66"/>
  <c r="I64"/>
  <c r="I66" s="1"/>
  <c r="L63"/>
  <c r="J62"/>
  <c r="J64" s="1"/>
  <c r="M60"/>
  <c r="M62" s="1"/>
  <c r="B60"/>
  <c r="B64" s="1"/>
  <c r="M52"/>
  <c r="I43"/>
  <c r="H43"/>
  <c r="G43"/>
  <c r="F43"/>
  <c r="E43"/>
  <c r="K42"/>
  <c r="J42"/>
  <c r="K41"/>
  <c r="J41"/>
  <c r="K40"/>
  <c r="J40"/>
  <c r="J39"/>
  <c r="K38"/>
  <c r="J38"/>
  <c r="K37"/>
  <c r="J37"/>
  <c r="K36"/>
  <c r="J36"/>
  <c r="L35"/>
  <c r="L45" s="1"/>
  <c r="M46" s="1"/>
  <c r="K35"/>
  <c r="J35"/>
  <c r="J34"/>
  <c r="J33"/>
  <c r="M32"/>
  <c r="J32"/>
  <c r="J31"/>
  <c r="J30"/>
  <c r="K29"/>
  <c r="J29"/>
  <c r="K28"/>
  <c r="J28"/>
  <c r="K27"/>
  <c r="J27"/>
  <c r="K26"/>
  <c r="J26"/>
  <c r="K25"/>
  <c r="J25"/>
  <c r="J24"/>
  <c r="L23"/>
  <c r="K23"/>
  <c r="J23"/>
  <c r="J22"/>
  <c r="J43" s="1"/>
  <c r="K21"/>
  <c r="M19"/>
  <c r="I18"/>
  <c r="H18"/>
  <c r="G18"/>
  <c r="K17"/>
  <c r="J17"/>
  <c r="M15"/>
  <c r="L15"/>
  <c r="M18" i="82"/>
  <c r="M19" s="1"/>
  <c r="J76"/>
  <c r="H76"/>
  <c r="M73"/>
  <c r="J70"/>
  <c r="M66"/>
  <c r="M68" s="1"/>
  <c r="I64"/>
  <c r="I66" s="1"/>
  <c r="L63"/>
  <c r="J62"/>
  <c r="J64" s="1"/>
  <c r="M60"/>
  <c r="M62" s="1"/>
  <c r="B60"/>
  <c r="B64" s="1"/>
  <c r="M52"/>
  <c r="I43"/>
  <c r="H43"/>
  <c r="G43"/>
  <c r="F43"/>
  <c r="E43"/>
  <c r="K42"/>
  <c r="J42"/>
  <c r="K41"/>
  <c r="J41"/>
  <c r="K40"/>
  <c r="J40"/>
  <c r="J39"/>
  <c r="K38"/>
  <c r="J38"/>
  <c r="K37"/>
  <c r="J37"/>
  <c r="K36"/>
  <c r="J36"/>
  <c r="L35"/>
  <c r="L45" s="1"/>
  <c r="M46" s="1"/>
  <c r="K35"/>
  <c r="J35"/>
  <c r="J34"/>
  <c r="J33"/>
  <c r="M32"/>
  <c r="J32"/>
  <c r="J31"/>
  <c r="J30"/>
  <c r="K29"/>
  <c r="J29"/>
  <c r="K28"/>
  <c r="J28"/>
  <c r="K27"/>
  <c r="J27"/>
  <c r="K26"/>
  <c r="J26"/>
  <c r="K25"/>
  <c r="J25"/>
  <c r="J24"/>
  <c r="L23"/>
  <c r="K23"/>
  <c r="J23"/>
  <c r="J22"/>
  <c r="K21"/>
  <c r="I18"/>
  <c r="H18"/>
  <c r="G18"/>
  <c r="K17"/>
  <c r="J17"/>
  <c r="M15"/>
  <c r="L15"/>
  <c r="M18" i="81"/>
  <c r="J76"/>
  <c r="H76"/>
  <c r="M73"/>
  <c r="J70"/>
  <c r="M66"/>
  <c r="M68" s="1"/>
  <c r="I64"/>
  <c r="I66" s="1"/>
  <c r="L63"/>
  <c r="J62"/>
  <c r="J64" s="1"/>
  <c r="M60"/>
  <c r="M62" s="1"/>
  <c r="B60"/>
  <c r="B64" s="1"/>
  <c r="M52"/>
  <c r="I43"/>
  <c r="H43"/>
  <c r="G43"/>
  <c r="E43"/>
  <c r="K42"/>
  <c r="J42"/>
  <c r="K41"/>
  <c r="J41"/>
  <c r="K40"/>
  <c r="J40"/>
  <c r="J39"/>
  <c r="K38"/>
  <c r="J38"/>
  <c r="K37"/>
  <c r="J37"/>
  <c r="K36"/>
  <c r="J36"/>
  <c r="L35"/>
  <c r="L45" s="1"/>
  <c r="M46" s="1"/>
  <c r="K35"/>
  <c r="J35"/>
  <c r="J34"/>
  <c r="J33"/>
  <c r="M32"/>
  <c r="J32"/>
  <c r="J31"/>
  <c r="J30"/>
  <c r="K29"/>
  <c r="J29"/>
  <c r="K28"/>
  <c r="J28"/>
  <c r="K27"/>
  <c r="J27"/>
  <c r="K26"/>
  <c r="J26"/>
  <c r="K25"/>
  <c r="J24"/>
  <c r="L23"/>
  <c r="K23"/>
  <c r="J23"/>
  <c r="J22"/>
  <c r="K21"/>
  <c r="M19"/>
  <c r="I18"/>
  <c r="H18"/>
  <c r="G18"/>
  <c r="K17"/>
  <c r="J17"/>
  <c r="M15"/>
  <c r="L15"/>
  <c r="J76" i="80"/>
  <c r="H76"/>
  <c r="M73"/>
  <c r="J70"/>
  <c r="M66"/>
  <c r="M68" s="1"/>
  <c r="I64"/>
  <c r="I66" s="1"/>
  <c r="L63"/>
  <c r="J62"/>
  <c r="J64" s="1"/>
  <c r="M60"/>
  <c r="M62" s="1"/>
  <c r="B60"/>
  <c r="B64" s="1"/>
  <c r="M52"/>
  <c r="I43"/>
  <c r="H43"/>
  <c r="G43"/>
  <c r="E43"/>
  <c r="K42"/>
  <c r="J42"/>
  <c r="K41"/>
  <c r="J41"/>
  <c r="K40"/>
  <c r="J40"/>
  <c r="F39"/>
  <c r="J39" s="1"/>
  <c r="K38"/>
  <c r="J38"/>
  <c r="K37"/>
  <c r="J37"/>
  <c r="K36"/>
  <c r="J36"/>
  <c r="L35"/>
  <c r="L45" s="1"/>
  <c r="M46" s="1"/>
  <c r="K35"/>
  <c r="J35"/>
  <c r="J34"/>
  <c r="J33"/>
  <c r="M32"/>
  <c r="J32"/>
  <c r="J31"/>
  <c r="J30"/>
  <c r="K29"/>
  <c r="J29"/>
  <c r="K28"/>
  <c r="J28"/>
  <c r="K27"/>
  <c r="J27"/>
  <c r="K26"/>
  <c r="J26"/>
  <c r="F25"/>
  <c r="K25" s="1"/>
  <c r="J24"/>
  <c r="L23"/>
  <c r="K23"/>
  <c r="J23"/>
  <c r="J22"/>
  <c r="K21"/>
  <c r="M18"/>
  <c r="M19" s="1"/>
  <c r="I18"/>
  <c r="H18"/>
  <c r="G18"/>
  <c r="K17"/>
  <c r="J17"/>
  <c r="M15"/>
  <c r="L15"/>
  <c r="F39" i="79"/>
  <c r="F25"/>
  <c r="M18"/>
  <c r="J76"/>
  <c r="H76"/>
  <c r="M73"/>
  <c r="J70"/>
  <c r="M66"/>
  <c r="M68" s="1"/>
  <c r="I64"/>
  <c r="I66" s="1"/>
  <c r="L63"/>
  <c r="J62"/>
  <c r="J64" s="1"/>
  <c r="M60"/>
  <c r="M62" s="1"/>
  <c r="B60"/>
  <c r="B64" s="1"/>
  <c r="M52"/>
  <c r="I43"/>
  <c r="H43"/>
  <c r="G43"/>
  <c r="E43"/>
  <c r="K42"/>
  <c r="J42"/>
  <c r="K41"/>
  <c r="J41"/>
  <c r="J40"/>
  <c r="J39"/>
  <c r="J38"/>
  <c r="J37"/>
  <c r="J36"/>
  <c r="J35"/>
  <c r="J34"/>
  <c r="J33"/>
  <c r="L45"/>
  <c r="M46" s="1"/>
  <c r="M32"/>
  <c r="J32"/>
  <c r="J31"/>
  <c r="J30"/>
  <c r="K29"/>
  <c r="J29"/>
  <c r="K28"/>
  <c r="J28"/>
  <c r="K27"/>
  <c r="J27"/>
  <c r="K26"/>
  <c r="J26"/>
  <c r="J25"/>
  <c r="J24"/>
  <c r="L23"/>
  <c r="K23"/>
  <c r="J23"/>
  <c r="J22"/>
  <c r="K21"/>
  <c r="M19"/>
  <c r="I18"/>
  <c r="H18"/>
  <c r="G18"/>
  <c r="K17"/>
  <c r="J17"/>
  <c r="M15"/>
  <c r="L15"/>
  <c r="D73" i="46"/>
  <c r="F33" i="78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M18"/>
  <c r="J76"/>
  <c r="H76"/>
  <c r="M73"/>
  <c r="J70"/>
  <c r="M66"/>
  <c r="M68" s="1"/>
  <c r="I64"/>
  <c r="I66" s="1"/>
  <c r="L63"/>
  <c r="J62"/>
  <c r="J64" s="1"/>
  <c r="M60"/>
  <c r="M62" s="1"/>
  <c r="B60"/>
  <c r="B64" s="1"/>
  <c r="M52"/>
  <c r="I43"/>
  <c r="H43"/>
  <c r="G43"/>
  <c r="F43"/>
  <c r="E43"/>
  <c r="K42"/>
  <c r="K41"/>
  <c r="K40"/>
  <c r="K38"/>
  <c r="K37"/>
  <c r="K36"/>
  <c r="L35"/>
  <c r="L45" s="1"/>
  <c r="M46" s="1"/>
  <c r="K35"/>
  <c r="M32"/>
  <c r="K29"/>
  <c r="K28"/>
  <c r="K27"/>
  <c r="K26"/>
  <c r="K25"/>
  <c r="L23"/>
  <c r="K23"/>
  <c r="J23"/>
  <c r="J22"/>
  <c r="J43" s="1"/>
  <c r="K21"/>
  <c r="M19"/>
  <c r="I18"/>
  <c r="H18"/>
  <c r="G18"/>
  <c r="K17"/>
  <c r="J17"/>
  <c r="M15"/>
  <c r="L15"/>
  <c r="M18" i="77"/>
  <c r="J76"/>
  <c r="H76"/>
  <c r="M73"/>
  <c r="J70"/>
  <c r="M66"/>
  <c r="M68" s="1"/>
  <c r="I64"/>
  <c r="I66" s="1"/>
  <c r="L63"/>
  <c r="J62"/>
  <c r="J64" s="1"/>
  <c r="M60"/>
  <c r="M62" s="1"/>
  <c r="B60"/>
  <c r="B64" s="1"/>
  <c r="M52"/>
  <c r="I43"/>
  <c r="H43"/>
  <c r="G43"/>
  <c r="F43"/>
  <c r="E43"/>
  <c r="K42"/>
  <c r="J42"/>
  <c r="K41"/>
  <c r="J41"/>
  <c r="K40"/>
  <c r="J40"/>
  <c r="J39"/>
  <c r="K38"/>
  <c r="J38"/>
  <c r="K37"/>
  <c r="J37"/>
  <c r="K36"/>
  <c r="J36"/>
  <c r="L35"/>
  <c r="L45" s="1"/>
  <c r="M46" s="1"/>
  <c r="K35"/>
  <c r="J35"/>
  <c r="J34"/>
  <c r="J33"/>
  <c r="M32"/>
  <c r="J32"/>
  <c r="J31"/>
  <c r="J30"/>
  <c r="K29"/>
  <c r="J29"/>
  <c r="K28"/>
  <c r="J28"/>
  <c r="K27"/>
  <c r="J27"/>
  <c r="K26"/>
  <c r="J26"/>
  <c r="K25"/>
  <c r="J25"/>
  <c r="J24"/>
  <c r="L23"/>
  <c r="K23"/>
  <c r="J23"/>
  <c r="J22"/>
  <c r="K21"/>
  <c r="M19"/>
  <c r="I18"/>
  <c r="H18"/>
  <c r="G18"/>
  <c r="K17"/>
  <c r="J17"/>
  <c r="M15"/>
  <c r="L15"/>
  <c r="J76" i="75"/>
  <c r="H76"/>
  <c r="M73"/>
  <c r="J70"/>
  <c r="M68"/>
  <c r="M66"/>
  <c r="I64"/>
  <c r="I66" s="1"/>
  <c r="L63"/>
  <c r="J62"/>
  <c r="J64" s="1"/>
  <c r="M60"/>
  <c r="M62" s="1"/>
  <c r="B60"/>
  <c r="B64" s="1"/>
  <c r="M52"/>
  <c r="I43"/>
  <c r="H43"/>
  <c r="G43"/>
  <c r="F43"/>
  <c r="E43"/>
  <c r="K43" s="1"/>
  <c r="K42"/>
  <c r="J42"/>
  <c r="K41"/>
  <c r="J41"/>
  <c r="K40"/>
  <c r="J40"/>
  <c r="J39"/>
  <c r="K38"/>
  <c r="J38"/>
  <c r="K37"/>
  <c r="J37"/>
  <c r="K36"/>
  <c r="J36"/>
  <c r="L35"/>
  <c r="L45" s="1"/>
  <c r="M46" s="1"/>
  <c r="K35"/>
  <c r="J35"/>
  <c r="J34"/>
  <c r="J33"/>
  <c r="M32"/>
  <c r="J32"/>
  <c r="J31"/>
  <c r="J30"/>
  <c r="K29"/>
  <c r="J29"/>
  <c r="K28"/>
  <c r="J28"/>
  <c r="K27"/>
  <c r="J27"/>
  <c r="K26"/>
  <c r="J26"/>
  <c r="K25"/>
  <c r="J25"/>
  <c r="J24"/>
  <c r="L23"/>
  <c r="K23"/>
  <c r="J23"/>
  <c r="J22"/>
  <c r="J43" s="1"/>
  <c r="K21"/>
  <c r="M18"/>
  <c r="M19" s="1"/>
  <c r="I18"/>
  <c r="H18"/>
  <c r="G18"/>
  <c r="K17"/>
  <c r="J17"/>
  <c r="M15"/>
  <c r="L15"/>
  <c r="M18" i="74"/>
  <c r="J76"/>
  <c r="H76"/>
  <c r="M73"/>
  <c r="J70"/>
  <c r="M66"/>
  <c r="M68" s="1"/>
  <c r="I64"/>
  <c r="I66" s="1"/>
  <c r="L63"/>
  <c r="J62"/>
  <c r="J64" s="1"/>
  <c r="M60"/>
  <c r="M62" s="1"/>
  <c r="B60"/>
  <c r="B64" s="1"/>
  <c r="M52"/>
  <c r="I43"/>
  <c r="H43"/>
  <c r="G43"/>
  <c r="F43"/>
  <c r="E43"/>
  <c r="K42"/>
  <c r="J42"/>
  <c r="K41"/>
  <c r="J41"/>
  <c r="K40"/>
  <c r="J40"/>
  <c r="J39"/>
  <c r="K38"/>
  <c r="J38"/>
  <c r="K37"/>
  <c r="J37"/>
  <c r="K36"/>
  <c r="J36"/>
  <c r="L35"/>
  <c r="L45" s="1"/>
  <c r="M46" s="1"/>
  <c r="K35"/>
  <c r="J35"/>
  <c r="J34"/>
  <c r="J33"/>
  <c r="M32"/>
  <c r="J32"/>
  <c r="J31"/>
  <c r="J30"/>
  <c r="K29"/>
  <c r="J29"/>
  <c r="K28"/>
  <c r="J28"/>
  <c r="K27"/>
  <c r="J27"/>
  <c r="K26"/>
  <c r="J26"/>
  <c r="K25"/>
  <c r="J25"/>
  <c r="J24"/>
  <c r="L23"/>
  <c r="K23"/>
  <c r="J23"/>
  <c r="J22"/>
  <c r="K21"/>
  <c r="M19"/>
  <c r="I18"/>
  <c r="H18"/>
  <c r="G18"/>
  <c r="J17"/>
  <c r="K17"/>
  <c r="M15"/>
  <c r="L15"/>
  <c r="J33" i="73"/>
  <c r="J32"/>
  <c r="J31"/>
  <c r="J30"/>
  <c r="J29"/>
  <c r="J28"/>
  <c r="J27"/>
  <c r="J26"/>
  <c r="J25"/>
  <c r="M18"/>
  <c r="J76"/>
  <c r="H76"/>
  <c r="M73"/>
  <c r="J70"/>
  <c r="M66"/>
  <c r="M68" s="1"/>
  <c r="J64"/>
  <c r="I64"/>
  <c r="I66" s="1"/>
  <c r="B64"/>
  <c r="L63"/>
  <c r="J62"/>
  <c r="M60"/>
  <c r="M62" s="1"/>
  <c r="B60"/>
  <c r="M52"/>
  <c r="I43"/>
  <c r="H43"/>
  <c r="G43"/>
  <c r="F43"/>
  <c r="E43"/>
  <c r="K42"/>
  <c r="J42"/>
  <c r="M32"/>
  <c r="K41"/>
  <c r="J41"/>
  <c r="K40"/>
  <c r="J40"/>
  <c r="J39"/>
  <c r="K38"/>
  <c r="J38"/>
  <c r="K37"/>
  <c r="J37"/>
  <c r="K36"/>
  <c r="J36"/>
  <c r="L35"/>
  <c r="L45" s="1"/>
  <c r="M46" s="1"/>
  <c r="K35"/>
  <c r="J35"/>
  <c r="J34"/>
  <c r="K29"/>
  <c r="K28"/>
  <c r="K27"/>
  <c r="K26"/>
  <c r="K25"/>
  <c r="J24"/>
  <c r="L23"/>
  <c r="K23"/>
  <c r="J23"/>
  <c r="J22"/>
  <c r="K21"/>
  <c r="M19"/>
  <c r="F13" s="1"/>
  <c r="F18" s="1"/>
  <c r="I18"/>
  <c r="H18"/>
  <c r="G18"/>
  <c r="J17"/>
  <c r="K17"/>
  <c r="M15"/>
  <c r="L15"/>
  <c r="E13"/>
  <c r="E18" s="1"/>
  <c r="J42" i="7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I43"/>
  <c r="I45" s="1"/>
  <c r="I44" i="73" s="1"/>
  <c r="H43" i="72"/>
  <c r="H45" s="1"/>
  <c r="H44" i="73" s="1"/>
  <c r="G43" i="72"/>
  <c r="G45" s="1"/>
  <c r="G44" i="73" s="1"/>
  <c r="F43" i="72"/>
  <c r="F45" s="1"/>
  <c r="F44" i="73" s="1"/>
  <c r="E43" i="72"/>
  <c r="E45" s="1"/>
  <c r="E44" i="73" s="1"/>
  <c r="M41" i="72"/>
  <c r="J76"/>
  <c r="H76"/>
  <c r="M73"/>
  <c r="J70"/>
  <c r="M66"/>
  <c r="M68" s="1"/>
  <c r="I64"/>
  <c r="I66" s="1"/>
  <c r="L63"/>
  <c r="J62"/>
  <c r="J64" s="1"/>
  <c r="M60"/>
  <c r="M62" s="1"/>
  <c r="B60"/>
  <c r="B64" s="1"/>
  <c r="M52"/>
  <c r="M44"/>
  <c r="K42"/>
  <c r="K41"/>
  <c r="K40"/>
  <c r="K38"/>
  <c r="K37"/>
  <c r="K36"/>
  <c r="K35"/>
  <c r="L35"/>
  <c r="L45" s="1"/>
  <c r="M46" s="1"/>
  <c r="M31"/>
  <c r="K29"/>
  <c r="K28"/>
  <c r="K27"/>
  <c r="K26"/>
  <c r="K25"/>
  <c r="L23"/>
  <c r="K23"/>
  <c r="J22"/>
  <c r="J43" s="1"/>
  <c r="J45" s="1"/>
  <c r="J44" i="73" s="1"/>
  <c r="K21" i="72"/>
  <c r="K19"/>
  <c r="M19"/>
  <c r="I18"/>
  <c r="I20" s="1"/>
  <c r="I46" s="1"/>
  <c r="I19" i="73" s="1"/>
  <c r="H18" i="72"/>
  <c r="H20" s="1"/>
  <c r="H46" s="1"/>
  <c r="H19" i="73" s="1"/>
  <c r="G18" i="72"/>
  <c r="G20" s="1"/>
  <c r="G46" s="1"/>
  <c r="G19" i="73" s="1"/>
  <c r="J17" i="72"/>
  <c r="J16"/>
  <c r="K17" s="1"/>
  <c r="M15"/>
  <c r="L15"/>
  <c r="J14"/>
  <c r="C35" i="65"/>
  <c r="C38"/>
  <c r="K43" i="96" l="1"/>
  <c r="F13"/>
  <c r="F18" s="1"/>
  <c r="F20" s="1"/>
  <c r="F46" s="1"/>
  <c r="E13"/>
  <c r="K25"/>
  <c r="K44"/>
  <c r="E45"/>
  <c r="K45" s="1"/>
  <c r="K19" i="95"/>
  <c r="G20"/>
  <c r="G46" s="1"/>
  <c r="I20"/>
  <c r="I46" s="1"/>
  <c r="J43"/>
  <c r="J45" s="1"/>
  <c r="K43"/>
  <c r="E13"/>
  <c r="F13"/>
  <c r="F18" s="1"/>
  <c r="F20" s="1"/>
  <c r="F46" s="1"/>
  <c r="K44"/>
  <c r="E45"/>
  <c r="K45" s="1"/>
  <c r="J43" i="94"/>
  <c r="J45" s="1"/>
  <c r="M44"/>
  <c r="K43"/>
  <c r="K18"/>
  <c r="E20"/>
  <c r="J13"/>
  <c r="J18" s="1"/>
  <c r="J20" s="1"/>
  <c r="K44"/>
  <c r="E45"/>
  <c r="K45" s="1"/>
  <c r="J43" i="93"/>
  <c r="J45" s="1"/>
  <c r="K43"/>
  <c r="F13"/>
  <c r="F18" s="1"/>
  <c r="F20" s="1"/>
  <c r="F46" s="1"/>
  <c r="E13"/>
  <c r="K44"/>
  <c r="K45"/>
  <c r="M44" i="73"/>
  <c r="K44"/>
  <c r="H20"/>
  <c r="H46" s="1"/>
  <c r="F45"/>
  <c r="H45"/>
  <c r="G20"/>
  <c r="G46" s="1"/>
  <c r="I20"/>
  <c r="I46" s="1"/>
  <c r="E45"/>
  <c r="G45"/>
  <c r="I45"/>
  <c r="H31" i="90"/>
  <c r="F33"/>
  <c r="F13" i="88"/>
  <c r="F18" s="1"/>
  <c r="E13"/>
  <c r="K43" i="87"/>
  <c r="J43"/>
  <c r="F13"/>
  <c r="F18" s="1"/>
  <c r="E13"/>
  <c r="K43" i="86"/>
  <c r="J43"/>
  <c r="F13"/>
  <c r="F18" s="1"/>
  <c r="E13"/>
  <c r="K43" i="85"/>
  <c r="J43"/>
  <c r="F13"/>
  <c r="F18" s="1"/>
  <c r="E13"/>
  <c r="F13" i="84"/>
  <c r="F18" s="1"/>
  <c r="E13"/>
  <c r="K43" i="83"/>
  <c r="F13"/>
  <c r="F18" s="1"/>
  <c r="E13"/>
  <c r="K43" i="82"/>
  <c r="J43"/>
  <c r="F13"/>
  <c r="F18" s="1"/>
  <c r="E13"/>
  <c r="F13" i="81"/>
  <c r="F18" s="1"/>
  <c r="E13"/>
  <c r="J25"/>
  <c r="J43" s="1"/>
  <c r="F43"/>
  <c r="F13" i="80"/>
  <c r="F18" s="1"/>
  <c r="E13"/>
  <c r="J25"/>
  <c r="J43" s="1"/>
  <c r="F43"/>
  <c r="J43" i="79"/>
  <c r="E13"/>
  <c r="F13"/>
  <c r="F18" s="1"/>
  <c r="F43"/>
  <c r="K43" i="78"/>
  <c r="F13"/>
  <c r="F18" s="1"/>
  <c r="E13"/>
  <c r="K43" i="77"/>
  <c r="J43"/>
  <c r="F13"/>
  <c r="F18" s="1"/>
  <c r="E13"/>
  <c r="F13" i="75"/>
  <c r="F18" s="1"/>
  <c r="E13"/>
  <c r="J43" i="74"/>
  <c r="E13"/>
  <c r="F13"/>
  <c r="F18" s="1"/>
  <c r="K43"/>
  <c r="J43" i="73"/>
  <c r="J45" s="1"/>
  <c r="K45"/>
  <c r="K18"/>
  <c r="J13"/>
  <c r="K43"/>
  <c r="E13" i="72"/>
  <c r="F13"/>
  <c r="F18" s="1"/>
  <c r="F20" s="1"/>
  <c r="K44"/>
  <c r="K45"/>
  <c r="E18" i="96" l="1"/>
  <c r="J13"/>
  <c r="J18" s="1"/>
  <c r="J20" s="1"/>
  <c r="J46" s="1"/>
  <c r="J13" i="95"/>
  <c r="J18" s="1"/>
  <c r="J20" s="1"/>
  <c r="J46" s="1"/>
  <c r="E18"/>
  <c r="J46" i="94"/>
  <c r="E46"/>
  <c r="K20"/>
  <c r="E18" i="93"/>
  <c r="J13"/>
  <c r="G44" i="74"/>
  <c r="G45" s="1"/>
  <c r="G44" i="77" s="1"/>
  <c r="G45" s="1"/>
  <c r="G44" i="78" s="1"/>
  <c r="G45" s="1"/>
  <c r="G44" i="75"/>
  <c r="G45" s="1"/>
  <c r="G19" i="74"/>
  <c r="G20" s="1"/>
  <c r="G46" s="1"/>
  <c r="G19" i="77" s="1"/>
  <c r="G20" s="1"/>
  <c r="G46" s="1"/>
  <c r="G19" i="78" s="1"/>
  <c r="G20" s="1"/>
  <c r="G46" s="1"/>
  <c r="G19" i="75"/>
  <c r="G20" s="1"/>
  <c r="G46" s="1"/>
  <c r="H44"/>
  <c r="H45" s="1"/>
  <c r="H44" i="74"/>
  <c r="H45" s="1"/>
  <c r="H44" i="77" s="1"/>
  <c r="H45" s="1"/>
  <c r="H44" i="78" s="1"/>
  <c r="H45" s="1"/>
  <c r="H19" i="74"/>
  <c r="H20" s="1"/>
  <c r="H46" s="1"/>
  <c r="H19" i="77" s="1"/>
  <c r="H20" s="1"/>
  <c r="H46" s="1"/>
  <c r="H19" i="78" s="1"/>
  <c r="H20" s="1"/>
  <c r="H46" s="1"/>
  <c r="H19" i="75"/>
  <c r="H20" s="1"/>
  <c r="H46" s="1"/>
  <c r="J44"/>
  <c r="J45" s="1"/>
  <c r="J44" i="74"/>
  <c r="J45" s="1"/>
  <c r="J44" i="77" s="1"/>
  <c r="J45" s="1"/>
  <c r="J44" i="78" s="1"/>
  <c r="J45" s="1"/>
  <c r="I44" i="74"/>
  <c r="I45" s="1"/>
  <c r="I44" i="77" s="1"/>
  <c r="I45" s="1"/>
  <c r="I44" i="78" s="1"/>
  <c r="I45" s="1"/>
  <c r="I44" i="75"/>
  <c r="I45" s="1"/>
  <c r="E44" i="74"/>
  <c r="E44" i="75"/>
  <c r="I19" i="74"/>
  <c r="I20" s="1"/>
  <c r="I46" s="1"/>
  <c r="I19" i="77" s="1"/>
  <c r="I20" s="1"/>
  <c r="I46" s="1"/>
  <c r="I19" i="78" s="1"/>
  <c r="I20" s="1"/>
  <c r="I46" s="1"/>
  <c r="I19" i="75"/>
  <c r="I20" s="1"/>
  <c r="I46" s="1"/>
  <c r="F44"/>
  <c r="F45" s="1"/>
  <c r="F44" i="74"/>
  <c r="F45" s="1"/>
  <c r="E18" i="88"/>
  <c r="J13"/>
  <c r="E18" i="87"/>
  <c r="J13"/>
  <c r="E18" i="86"/>
  <c r="J13"/>
  <c r="E18" i="85"/>
  <c r="J13"/>
  <c r="E18" i="84"/>
  <c r="J13"/>
  <c r="E18" i="83"/>
  <c r="J13"/>
  <c r="E18" i="82"/>
  <c r="J13"/>
  <c r="E18" i="81"/>
  <c r="J13"/>
  <c r="K43"/>
  <c r="E18" i="80"/>
  <c r="J13"/>
  <c r="K43"/>
  <c r="K43" i="79"/>
  <c r="E18"/>
  <c r="J13"/>
  <c r="E18" i="78"/>
  <c r="J13"/>
  <c r="E18" i="77"/>
  <c r="J13"/>
  <c r="E18" i="75"/>
  <c r="J13"/>
  <c r="E18" i="74"/>
  <c r="J13"/>
  <c r="J18" i="73"/>
  <c r="K13"/>
  <c r="E18" i="72"/>
  <c r="J13"/>
  <c r="K43"/>
  <c r="F46"/>
  <c r="F19" i="73" s="1"/>
  <c r="F20" s="1"/>
  <c r="F46" s="1"/>
  <c r="E20" i="96" l="1"/>
  <c r="K18"/>
  <c r="E20" i="95"/>
  <c r="K18"/>
  <c r="K47" i="94"/>
  <c r="K46"/>
  <c r="E20" i="93"/>
  <c r="K18"/>
  <c r="J18"/>
  <c r="J20" s="1"/>
  <c r="J46" s="1"/>
  <c r="J44" i="79"/>
  <c r="J45" s="1"/>
  <c r="J44" i="81" s="1"/>
  <c r="J45" s="1"/>
  <c r="J44" i="82" s="1"/>
  <c r="J45" s="1"/>
  <c r="J44" i="80"/>
  <c r="J45" s="1"/>
  <c r="I19"/>
  <c r="I20" s="1"/>
  <c r="I46" s="1"/>
  <c r="I19" i="79"/>
  <c r="I20" s="1"/>
  <c r="I46" s="1"/>
  <c r="I19" i="81" s="1"/>
  <c r="I20" s="1"/>
  <c r="I46" s="1"/>
  <c r="I19" i="82" s="1"/>
  <c r="I20" s="1"/>
  <c r="I46" s="1"/>
  <c r="K44" i="74"/>
  <c r="E45"/>
  <c r="E44" i="77" s="1"/>
  <c r="M44" i="74"/>
  <c r="I44" i="80"/>
  <c r="I45" s="1"/>
  <c r="I44" i="79"/>
  <c r="I45" s="1"/>
  <c r="I44" i="81" s="1"/>
  <c r="I45" s="1"/>
  <c r="I44" i="82" s="1"/>
  <c r="I45" s="1"/>
  <c r="H19" i="80"/>
  <c r="H20" s="1"/>
  <c r="H46" s="1"/>
  <c r="H19" i="79"/>
  <c r="H20" s="1"/>
  <c r="H46" s="1"/>
  <c r="H19" i="81" s="1"/>
  <c r="H20" s="1"/>
  <c r="H46" s="1"/>
  <c r="H19" i="82" s="1"/>
  <c r="H20" s="1"/>
  <c r="H46" s="1"/>
  <c r="G19" i="80"/>
  <c r="G20" s="1"/>
  <c r="G46" s="1"/>
  <c r="G19" i="79"/>
  <c r="G20" s="1"/>
  <c r="G46" s="1"/>
  <c r="G19" i="81" s="1"/>
  <c r="G20" s="1"/>
  <c r="G46" s="1"/>
  <c r="G19" i="82" s="1"/>
  <c r="G20" s="1"/>
  <c r="G46" s="1"/>
  <c r="G44" i="80"/>
  <c r="G45" s="1"/>
  <c r="G44" i="79"/>
  <c r="G45" s="1"/>
  <c r="G44" i="81" s="1"/>
  <c r="G45" s="1"/>
  <c r="G44" i="82" s="1"/>
  <c r="G45" s="1"/>
  <c r="F19" i="74"/>
  <c r="F20" s="1"/>
  <c r="F46" s="1"/>
  <c r="F19" i="77" s="1"/>
  <c r="F20" s="1"/>
  <c r="F46" s="1"/>
  <c r="F19" i="78" s="1"/>
  <c r="F20" s="1"/>
  <c r="F46" s="1"/>
  <c r="F19" i="75"/>
  <c r="F20" s="1"/>
  <c r="F46" s="1"/>
  <c r="K45" i="74"/>
  <c r="F44" i="77"/>
  <c r="F45" s="1"/>
  <c r="F44" i="78" s="1"/>
  <c r="F45" s="1"/>
  <c r="M44" i="75"/>
  <c r="E45"/>
  <c r="K45" s="1"/>
  <c r="K44"/>
  <c r="H44" i="79"/>
  <c r="H45" s="1"/>
  <c r="H44" i="81" s="1"/>
  <c r="H45" s="1"/>
  <c r="H44" i="82" s="1"/>
  <c r="H45" s="1"/>
  <c r="H44" i="80"/>
  <c r="H45" s="1"/>
  <c r="K18" i="88"/>
  <c r="J18"/>
  <c r="K13"/>
  <c r="K18" i="87"/>
  <c r="J18"/>
  <c r="K13"/>
  <c r="K18" i="86"/>
  <c r="J18"/>
  <c r="K13"/>
  <c r="K18" i="85"/>
  <c r="J18"/>
  <c r="K13"/>
  <c r="K18" i="84"/>
  <c r="J18"/>
  <c r="K13"/>
  <c r="K18" i="83"/>
  <c r="J18"/>
  <c r="K13"/>
  <c r="K18" i="82"/>
  <c r="J18"/>
  <c r="K13"/>
  <c r="K18" i="81"/>
  <c r="J18"/>
  <c r="K13"/>
  <c r="J18" i="80"/>
  <c r="K13"/>
  <c r="K18"/>
  <c r="J18" i="79"/>
  <c r="K13"/>
  <c r="K18"/>
  <c r="K18" i="78"/>
  <c r="J18"/>
  <c r="K13"/>
  <c r="K18" i="77"/>
  <c r="J18"/>
  <c r="K13"/>
  <c r="K18" i="75"/>
  <c r="J18"/>
  <c r="K13"/>
  <c r="K18" i="74"/>
  <c r="J18"/>
  <c r="K13"/>
  <c r="E20" i="72"/>
  <c r="K18"/>
  <c r="J18"/>
  <c r="J20" s="1"/>
  <c r="J46" s="1"/>
  <c r="J19" i="73" s="1"/>
  <c r="J20" s="1"/>
  <c r="J46" s="1"/>
  <c r="K13" i="72"/>
  <c r="L25" s="1"/>
  <c r="K20" i="96" l="1"/>
  <c r="E46"/>
  <c r="E46" i="95"/>
  <c r="K20"/>
  <c r="K20" i="93"/>
  <c r="J19" i="74"/>
  <c r="J19" i="75"/>
  <c r="H44" i="83"/>
  <c r="H45" s="1"/>
  <c r="H44" i="85" s="1"/>
  <c r="H45" s="1"/>
  <c r="H44" i="86" s="1"/>
  <c r="H45" s="1"/>
  <c r="H44" i="84"/>
  <c r="H45" s="1"/>
  <c r="F44" i="79"/>
  <c r="F45" s="1"/>
  <c r="F44" i="81" s="1"/>
  <c r="F45" s="1"/>
  <c r="F44" i="82" s="1"/>
  <c r="F45" s="1"/>
  <c r="F44" i="80"/>
  <c r="F45" s="1"/>
  <c r="G44" i="84"/>
  <c r="G45" s="1"/>
  <c r="G44" i="83"/>
  <c r="G45" s="1"/>
  <c r="G44" i="85" s="1"/>
  <c r="G45" s="1"/>
  <c r="G44" i="86" s="1"/>
  <c r="G45" s="1"/>
  <c r="G19" i="84"/>
  <c r="G20" s="1"/>
  <c r="G46" s="1"/>
  <c r="G19" i="83"/>
  <c r="G20" s="1"/>
  <c r="G46" s="1"/>
  <c r="G19" i="85" s="1"/>
  <c r="G20" s="1"/>
  <c r="G46" s="1"/>
  <c r="G19" i="86" s="1"/>
  <c r="G20" s="1"/>
  <c r="G46" s="1"/>
  <c r="H19" i="84"/>
  <c r="H20" s="1"/>
  <c r="H46" s="1"/>
  <c r="H19" i="83"/>
  <c r="H20" s="1"/>
  <c r="H46" s="1"/>
  <c r="H19" i="85" s="1"/>
  <c r="H20" s="1"/>
  <c r="H46" s="1"/>
  <c r="H19" i="86" s="1"/>
  <c r="H20" s="1"/>
  <c r="H46" s="1"/>
  <c r="I44" i="84"/>
  <c r="I45" s="1"/>
  <c r="I44" i="83"/>
  <c r="I45" s="1"/>
  <c r="I44" i="85" s="1"/>
  <c r="I45" s="1"/>
  <c r="I44" i="86" s="1"/>
  <c r="I45" s="1"/>
  <c r="J44" i="83"/>
  <c r="J45" s="1"/>
  <c r="J44" i="85" s="1"/>
  <c r="J45" s="1"/>
  <c r="J44" i="86" s="1"/>
  <c r="J45" s="1"/>
  <c r="J44" i="84"/>
  <c r="J45" s="1"/>
  <c r="J20" i="74"/>
  <c r="J46" s="1"/>
  <c r="J19" i="77" s="1"/>
  <c r="J20" i="75"/>
  <c r="J46" s="1"/>
  <c r="J20" i="77"/>
  <c r="J46" s="1"/>
  <c r="J19" i="78" s="1"/>
  <c r="J20" s="1"/>
  <c r="J46" s="1"/>
  <c r="F19" i="80"/>
  <c r="F20" s="1"/>
  <c r="F46" s="1"/>
  <c r="F19" i="79"/>
  <c r="F20" s="1"/>
  <c r="F46" s="1"/>
  <c r="F19" i="81" s="1"/>
  <c r="F20" s="1"/>
  <c r="F46" s="1"/>
  <c r="F19" i="82" s="1"/>
  <c r="F20" s="1"/>
  <c r="F46" s="1"/>
  <c r="M44" i="77"/>
  <c r="E45"/>
  <c r="K44"/>
  <c r="I19" i="84"/>
  <c r="I20" s="1"/>
  <c r="I46" s="1"/>
  <c r="I19" i="83"/>
  <c r="I20" s="1"/>
  <c r="I46" s="1"/>
  <c r="I19" i="85" s="1"/>
  <c r="I20" s="1"/>
  <c r="I46" s="1"/>
  <c r="I19" i="86" s="1"/>
  <c r="I20" s="1"/>
  <c r="I46" s="1"/>
  <c r="K20" i="72"/>
  <c r="E46"/>
  <c r="E19" i="73" s="1"/>
  <c r="K47" i="96" l="1"/>
  <c r="K46"/>
  <c r="K47" i="95"/>
  <c r="K46"/>
  <c r="K47" i="93"/>
  <c r="K46"/>
  <c r="J19" i="80"/>
  <c r="J20" s="1"/>
  <c r="J46" s="1"/>
  <c r="J19" i="79"/>
  <c r="J20" s="1"/>
  <c r="J46" s="1"/>
  <c r="J19" i="81" s="1"/>
  <c r="J20" s="1"/>
  <c r="J46" s="1"/>
  <c r="J19" i="82" s="1"/>
  <c r="J20" s="1"/>
  <c r="J46" s="1"/>
  <c r="I19" i="88"/>
  <c r="I20" s="1"/>
  <c r="I46" s="1"/>
  <c r="I19" i="87"/>
  <c r="I20" s="1"/>
  <c r="I46" s="1"/>
  <c r="J44" i="88"/>
  <c r="J45" s="1"/>
  <c r="J44" i="87"/>
  <c r="J45" s="1"/>
  <c r="F44" i="83"/>
  <c r="F45" s="1"/>
  <c r="F44" i="85" s="1"/>
  <c r="F45" s="1"/>
  <c r="F44" i="86" s="1"/>
  <c r="F45" s="1"/>
  <c r="F44" i="84"/>
  <c r="F45" s="1"/>
  <c r="H44" i="88"/>
  <c r="H45" s="1"/>
  <c r="H44" i="87"/>
  <c r="H45" s="1"/>
  <c r="K19" i="73"/>
  <c r="E20"/>
  <c r="K45" i="77"/>
  <c r="E44" i="78"/>
  <c r="F19" i="84"/>
  <c r="F20" s="1"/>
  <c r="F46" s="1"/>
  <c r="F19" i="83"/>
  <c r="F20" s="1"/>
  <c r="F46" s="1"/>
  <c r="F19" i="85" s="1"/>
  <c r="F20" s="1"/>
  <c r="F46" s="1"/>
  <c r="F19" i="86" s="1"/>
  <c r="F20" s="1"/>
  <c r="F46" s="1"/>
  <c r="I44" i="87"/>
  <c r="I45" s="1"/>
  <c r="I44" i="88"/>
  <c r="I45" s="1"/>
  <c r="H19"/>
  <c r="H20" s="1"/>
  <c r="H46" s="1"/>
  <c r="H19" i="87"/>
  <c r="H20" s="1"/>
  <c r="H46" s="1"/>
  <c r="G19" i="88"/>
  <c r="G20" s="1"/>
  <c r="G46" s="1"/>
  <c r="G19" i="87"/>
  <c r="G20" s="1"/>
  <c r="G46" s="1"/>
  <c r="G44"/>
  <c r="G45" s="1"/>
  <c r="G44" i="88"/>
  <c r="G45" s="1"/>
  <c r="K47" i="72"/>
  <c r="K46"/>
  <c r="F44" i="88" l="1"/>
  <c r="F45" s="1"/>
  <c r="F44" i="87"/>
  <c r="F45" s="1"/>
  <c r="F19" i="88"/>
  <c r="F20" s="1"/>
  <c r="F46" s="1"/>
  <c r="F19" i="87"/>
  <c r="F20" s="1"/>
  <c r="F46" s="1"/>
  <c r="M44" i="78"/>
  <c r="E45"/>
  <c r="K44"/>
  <c r="E46" i="73"/>
  <c r="K20"/>
  <c r="J19" i="84"/>
  <c r="J20" s="1"/>
  <c r="J46" s="1"/>
  <c r="J19" i="83"/>
  <c r="J20" s="1"/>
  <c r="J46" s="1"/>
  <c r="J19" i="85" s="1"/>
  <c r="J20" s="1"/>
  <c r="J46" s="1"/>
  <c r="J19" i="86" s="1"/>
  <c r="J20" s="1"/>
  <c r="J46" s="1"/>
  <c r="J76" i="71"/>
  <c r="H76"/>
  <c r="M73"/>
  <c r="J70"/>
  <c r="M68"/>
  <c r="M66"/>
  <c r="I64"/>
  <c r="I66" s="1"/>
  <c r="L63"/>
  <c r="J62"/>
  <c r="J64" s="1"/>
  <c r="M60"/>
  <c r="M62" s="1"/>
  <c r="B60"/>
  <c r="B64" s="1"/>
  <c r="M52"/>
  <c r="I43"/>
  <c r="H43"/>
  <c r="G43"/>
  <c r="E43"/>
  <c r="K42"/>
  <c r="J42"/>
  <c r="K41"/>
  <c r="J41"/>
  <c r="K40"/>
  <c r="J40"/>
  <c r="J39"/>
  <c r="K38"/>
  <c r="J38"/>
  <c r="K37"/>
  <c r="J37"/>
  <c r="K36"/>
  <c r="J36"/>
  <c r="K35"/>
  <c r="J35"/>
  <c r="F34"/>
  <c r="J34" s="1"/>
  <c r="F33"/>
  <c r="F43" s="1"/>
  <c r="J32"/>
  <c r="M31"/>
  <c r="J31"/>
  <c r="J30"/>
  <c r="K29"/>
  <c r="J29"/>
  <c r="K28"/>
  <c r="J28"/>
  <c r="K27"/>
  <c r="J27"/>
  <c r="K26"/>
  <c r="J26"/>
  <c r="K25"/>
  <c r="J25"/>
  <c r="J24"/>
  <c r="L23"/>
  <c r="K23"/>
  <c r="J23"/>
  <c r="J22"/>
  <c r="K21"/>
  <c r="M18"/>
  <c r="M19" s="1"/>
  <c r="I18"/>
  <c r="H18"/>
  <c r="G18"/>
  <c r="J17"/>
  <c r="J16"/>
  <c r="K17" s="1"/>
  <c r="M15"/>
  <c r="L15"/>
  <c r="J14"/>
  <c r="E25" i="65"/>
  <c r="E24"/>
  <c r="E35"/>
  <c r="B64" i="69"/>
  <c r="B60"/>
  <c r="E34" i="65"/>
  <c r="F34" s="1"/>
  <c r="K25"/>
  <c r="J76" i="70"/>
  <c r="H76"/>
  <c r="M73"/>
  <c r="J70"/>
  <c r="M66"/>
  <c r="M68" s="1"/>
  <c r="I64"/>
  <c r="I66" s="1"/>
  <c r="L63"/>
  <c r="J62"/>
  <c r="J64" s="1"/>
  <c r="M60"/>
  <c r="M62" s="1"/>
  <c r="F58"/>
  <c r="M52"/>
  <c r="I43"/>
  <c r="H43"/>
  <c r="G43"/>
  <c r="E43"/>
  <c r="K42"/>
  <c r="J42"/>
  <c r="K41"/>
  <c r="J41"/>
  <c r="K40"/>
  <c r="J40"/>
  <c r="J39"/>
  <c r="K38"/>
  <c r="J38"/>
  <c r="K37"/>
  <c r="J37"/>
  <c r="K36"/>
  <c r="J36"/>
  <c r="K35"/>
  <c r="J35"/>
  <c r="F34"/>
  <c r="J34" s="1"/>
  <c r="J33"/>
  <c r="F33"/>
  <c r="L35" s="1"/>
  <c r="L45" s="1"/>
  <c r="M46" s="1"/>
  <c r="J32"/>
  <c r="M31"/>
  <c r="J31"/>
  <c r="J30"/>
  <c r="K29"/>
  <c r="J29"/>
  <c r="K28"/>
  <c r="J28"/>
  <c r="K27"/>
  <c r="J27"/>
  <c r="K26"/>
  <c r="J26"/>
  <c r="K25"/>
  <c r="J25"/>
  <c r="J24"/>
  <c r="L23"/>
  <c r="K23"/>
  <c r="J23"/>
  <c r="J22"/>
  <c r="K21"/>
  <c r="M18"/>
  <c r="M19" s="1"/>
  <c r="I18"/>
  <c r="H18"/>
  <c r="G18"/>
  <c r="J17"/>
  <c r="J16"/>
  <c r="K17" s="1"/>
  <c r="M15"/>
  <c r="L15"/>
  <c r="J14"/>
  <c r="J19" i="88" l="1"/>
  <c r="J20" s="1"/>
  <c r="J46" s="1"/>
  <c r="J19" i="87"/>
  <c r="J20" s="1"/>
  <c r="J46" s="1"/>
  <c r="E19" i="74"/>
  <c r="E19" i="75"/>
  <c r="K46" i="73"/>
  <c r="K47"/>
  <c r="K45" i="78"/>
  <c r="E44" i="80"/>
  <c r="E44" i="79"/>
  <c r="F13" i="71"/>
  <c r="F18" s="1"/>
  <c r="E13"/>
  <c r="K43"/>
  <c r="L35"/>
  <c r="L45" s="1"/>
  <c r="M46" s="1"/>
  <c r="J33"/>
  <c r="J43" s="1"/>
  <c r="E13" i="70"/>
  <c r="F13"/>
  <c r="F18" s="1"/>
  <c r="J43"/>
  <c r="F43"/>
  <c r="M44" i="79" l="1"/>
  <c r="K44"/>
  <c r="E45"/>
  <c r="K19" i="74"/>
  <c r="E20"/>
  <c r="M44" i="80"/>
  <c r="K44"/>
  <c r="E45"/>
  <c r="K45" s="1"/>
  <c r="K19" i="75"/>
  <c r="E20"/>
  <c r="E18" i="71"/>
  <c r="J13"/>
  <c r="E18" i="70"/>
  <c r="J13"/>
  <c r="F57"/>
  <c r="K43"/>
  <c r="E46" i="74" l="1"/>
  <c r="K20"/>
  <c r="K45" i="79"/>
  <c r="E44" i="81"/>
  <c r="E46" i="75"/>
  <c r="K20"/>
  <c r="K18" i="71"/>
  <c r="J18"/>
  <c r="K13"/>
  <c r="L25" s="1"/>
  <c r="K18" i="70"/>
  <c r="J18"/>
  <c r="K13"/>
  <c r="L25" s="1"/>
  <c r="K46" i="75" l="1"/>
  <c r="K47"/>
  <c r="E19" i="77"/>
  <c r="K47" i="74"/>
  <c r="K46"/>
  <c r="M44" i="81"/>
  <c r="K44"/>
  <c r="E45"/>
  <c r="K19" i="77" l="1"/>
  <c r="E20"/>
  <c r="K45" i="81"/>
  <c r="E44" i="82"/>
  <c r="M44" l="1"/>
  <c r="K44"/>
  <c r="E45"/>
  <c r="E46" i="77"/>
  <c r="K20"/>
  <c r="J42" i="69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43"/>
  <c r="I43"/>
  <c r="H43"/>
  <c r="G43"/>
  <c r="F43"/>
  <c r="F34"/>
  <c r="F33"/>
  <c r="M18"/>
  <c r="J76"/>
  <c r="H76"/>
  <c r="M73"/>
  <c r="J70"/>
  <c r="M66"/>
  <c r="M68" s="1"/>
  <c r="I64"/>
  <c r="I66" s="1"/>
  <c r="L63"/>
  <c r="J62"/>
  <c r="J64" s="1"/>
  <c r="M60"/>
  <c r="M62" s="1"/>
  <c r="M52"/>
  <c r="E43"/>
  <c r="K42"/>
  <c r="K41"/>
  <c r="K40"/>
  <c r="K38"/>
  <c r="K37"/>
  <c r="K36"/>
  <c r="L35"/>
  <c r="L45" s="1"/>
  <c r="M46" s="1"/>
  <c r="K35"/>
  <c r="M31"/>
  <c r="K29"/>
  <c r="K28"/>
  <c r="K27"/>
  <c r="K26"/>
  <c r="K25"/>
  <c r="L23"/>
  <c r="K23"/>
  <c r="J22"/>
  <c r="K21"/>
  <c r="M19"/>
  <c r="I18"/>
  <c r="H18"/>
  <c r="G18"/>
  <c r="J17"/>
  <c r="J16"/>
  <c r="K17" s="1"/>
  <c r="M15"/>
  <c r="L15"/>
  <c r="J14"/>
  <c r="F26" i="68"/>
  <c r="J36"/>
  <c r="J35"/>
  <c r="J34"/>
  <c r="J33"/>
  <c r="J32"/>
  <c r="J31"/>
  <c r="J29"/>
  <c r="J28"/>
  <c r="J27"/>
  <c r="J26"/>
  <c r="J25"/>
  <c r="M18"/>
  <c r="K45" i="82" l="1"/>
  <c r="E44" i="84"/>
  <c r="E44" i="83"/>
  <c r="E19" i="78"/>
  <c r="K46" i="77"/>
  <c r="K47"/>
  <c r="E13" i="69"/>
  <c r="F13"/>
  <c r="F18" s="1"/>
  <c r="J76" i="68"/>
  <c r="H76"/>
  <c r="M73"/>
  <c r="J70"/>
  <c r="M66"/>
  <c r="M68" s="1"/>
  <c r="I64"/>
  <c r="I66" s="1"/>
  <c r="L63"/>
  <c r="J62"/>
  <c r="J64" s="1"/>
  <c r="M60"/>
  <c r="M62" s="1"/>
  <c r="F58"/>
  <c r="M52"/>
  <c r="I43"/>
  <c r="H43"/>
  <c r="G43"/>
  <c r="F43"/>
  <c r="E43"/>
  <c r="K42"/>
  <c r="J42"/>
  <c r="K41"/>
  <c r="J41"/>
  <c r="K40"/>
  <c r="J40"/>
  <c r="J39"/>
  <c r="K38"/>
  <c r="J38"/>
  <c r="K37"/>
  <c r="J37"/>
  <c r="K36"/>
  <c r="L35"/>
  <c r="L45" s="1"/>
  <c r="M46" s="1"/>
  <c r="K35"/>
  <c r="M31"/>
  <c r="K29"/>
  <c r="K28"/>
  <c r="K27"/>
  <c r="K26"/>
  <c r="K25"/>
  <c r="J24"/>
  <c r="L23"/>
  <c r="K23"/>
  <c r="J23"/>
  <c r="J22"/>
  <c r="K21"/>
  <c r="M19"/>
  <c r="I18"/>
  <c r="H18"/>
  <c r="G18"/>
  <c r="J17"/>
  <c r="J16"/>
  <c r="K17" s="1"/>
  <c r="M15"/>
  <c r="L15"/>
  <c r="J14"/>
  <c r="J41" i="67"/>
  <c r="J40"/>
  <c r="J39"/>
  <c r="J38"/>
  <c r="J37"/>
  <c r="J36"/>
  <c r="J35"/>
  <c r="J34"/>
  <c r="J33"/>
  <c r="J32"/>
  <c r="J31"/>
  <c r="J30"/>
  <c r="J29"/>
  <c r="J28"/>
  <c r="J27"/>
  <c r="J26"/>
  <c r="J25"/>
  <c r="J24"/>
  <c r="F33" i="65"/>
  <c r="F32"/>
  <c r="M18" i="67"/>
  <c r="J75"/>
  <c r="H75"/>
  <c r="M72"/>
  <c r="J69"/>
  <c r="M67"/>
  <c r="M65"/>
  <c r="I63"/>
  <c r="I65" s="1"/>
  <c r="L62"/>
  <c r="J61"/>
  <c r="J63" s="1"/>
  <c r="M59"/>
  <c r="M61" s="1"/>
  <c r="F57"/>
  <c r="M51"/>
  <c r="I42"/>
  <c r="H42"/>
  <c r="G42"/>
  <c r="F42"/>
  <c r="E42"/>
  <c r="K41"/>
  <c r="K40"/>
  <c r="K39"/>
  <c r="K37"/>
  <c r="K36"/>
  <c r="K35"/>
  <c r="L34"/>
  <c r="L44" s="1"/>
  <c r="M45" s="1"/>
  <c r="K34"/>
  <c r="M30"/>
  <c r="K29"/>
  <c r="K28"/>
  <c r="K27"/>
  <c r="K26"/>
  <c r="K25"/>
  <c r="L23"/>
  <c r="K23"/>
  <c r="J23"/>
  <c r="J22"/>
  <c r="K21"/>
  <c r="M19"/>
  <c r="I18"/>
  <c r="H18"/>
  <c r="G18"/>
  <c r="J17"/>
  <c r="J16"/>
  <c r="K17" s="1"/>
  <c r="M15"/>
  <c r="L15"/>
  <c r="J14"/>
  <c r="M44" i="83" l="1"/>
  <c r="K44"/>
  <c r="E45"/>
  <c r="K19" i="78"/>
  <c r="E20"/>
  <c r="M44" i="84"/>
  <c r="E45"/>
  <c r="K45" s="1"/>
  <c r="K44"/>
  <c r="E18" i="69"/>
  <c r="J13"/>
  <c r="K43"/>
  <c r="K43" i="68"/>
  <c r="F13"/>
  <c r="F18" s="1"/>
  <c r="E13"/>
  <c r="J43"/>
  <c r="J42" i="67"/>
  <c r="K42"/>
  <c r="F13"/>
  <c r="F18" s="1"/>
  <c r="E13"/>
  <c r="J75" i="66"/>
  <c r="H75"/>
  <c r="M72"/>
  <c r="J69"/>
  <c r="M65"/>
  <c r="M67" s="1"/>
  <c r="I63"/>
  <c r="I65" s="1"/>
  <c r="L62"/>
  <c r="J61"/>
  <c r="J63" s="1"/>
  <c r="M59"/>
  <c r="M61" s="1"/>
  <c r="F57"/>
  <c r="M51"/>
  <c r="I42"/>
  <c r="H42"/>
  <c r="G42"/>
  <c r="F42"/>
  <c r="E42"/>
  <c r="K41"/>
  <c r="J41"/>
  <c r="K40"/>
  <c r="J40"/>
  <c r="K39"/>
  <c r="J39"/>
  <c r="J38"/>
  <c r="K37"/>
  <c r="J37"/>
  <c r="K36"/>
  <c r="J36"/>
  <c r="K35"/>
  <c r="J35"/>
  <c r="L34"/>
  <c r="L44" s="1"/>
  <c r="M45" s="1"/>
  <c r="K34"/>
  <c r="J34"/>
  <c r="J33"/>
  <c r="J32"/>
  <c r="J31"/>
  <c r="M30"/>
  <c r="J30"/>
  <c r="K29"/>
  <c r="J29"/>
  <c r="K28"/>
  <c r="J28"/>
  <c r="K27"/>
  <c r="J27"/>
  <c r="K26"/>
  <c r="J26"/>
  <c r="K25"/>
  <c r="J25"/>
  <c r="J24"/>
  <c r="L23"/>
  <c r="K23"/>
  <c r="J23"/>
  <c r="J22"/>
  <c r="J42" s="1"/>
  <c r="K21"/>
  <c r="M18"/>
  <c r="M19" s="1"/>
  <c r="I18"/>
  <c r="H18"/>
  <c r="G18"/>
  <c r="J17"/>
  <c r="J16"/>
  <c r="K17" s="1"/>
  <c r="M15"/>
  <c r="L15"/>
  <c r="J14"/>
  <c r="F29" i="65"/>
  <c r="F28"/>
  <c r="F27"/>
  <c r="F26"/>
  <c r="F25"/>
  <c r="F24"/>
  <c r="F23"/>
  <c r="F22"/>
  <c r="F21"/>
  <c r="E23"/>
  <c r="N37" i="58"/>
  <c r="E46" i="78" l="1"/>
  <c r="K20"/>
  <c r="K45" i="83"/>
  <c r="E44" i="85"/>
  <c r="F31" i="65"/>
  <c r="H33" s="1"/>
  <c r="K18" i="69"/>
  <c r="J18"/>
  <c r="K13"/>
  <c r="L25" s="1"/>
  <c r="E18" i="68"/>
  <c r="J13"/>
  <c r="F57"/>
  <c r="F56" i="67"/>
  <c r="E18"/>
  <c r="J13"/>
  <c r="E13" i="66"/>
  <c r="F13"/>
  <c r="F18" s="1"/>
  <c r="K42"/>
  <c r="J33" i="64"/>
  <c r="J31"/>
  <c r="M18"/>
  <c r="J41"/>
  <c r="J40"/>
  <c r="J39"/>
  <c r="J37"/>
  <c r="J36"/>
  <c r="J35"/>
  <c r="J34"/>
  <c r="J32"/>
  <c r="J30"/>
  <c r="J29"/>
  <c r="J28"/>
  <c r="J27"/>
  <c r="J26"/>
  <c r="J25"/>
  <c r="J24"/>
  <c r="J75"/>
  <c r="H75"/>
  <c r="M72"/>
  <c r="J69"/>
  <c r="M65"/>
  <c r="M67" s="1"/>
  <c r="I63"/>
  <c r="I65" s="1"/>
  <c r="L62"/>
  <c r="J61"/>
  <c r="J63" s="1"/>
  <c r="M59"/>
  <c r="M61" s="1"/>
  <c r="F57"/>
  <c r="M51"/>
  <c r="I42"/>
  <c r="H42"/>
  <c r="G42"/>
  <c r="F42"/>
  <c r="E42"/>
  <c r="K41"/>
  <c r="K40"/>
  <c r="K39"/>
  <c r="K37"/>
  <c r="K36"/>
  <c r="K35"/>
  <c r="L34"/>
  <c r="L44" s="1"/>
  <c r="M45" s="1"/>
  <c r="K34"/>
  <c r="M30"/>
  <c r="K29"/>
  <c r="K28"/>
  <c r="K27"/>
  <c r="K26"/>
  <c r="K25"/>
  <c r="L23"/>
  <c r="K23"/>
  <c r="J23"/>
  <c r="J38"/>
  <c r="J22"/>
  <c r="K21"/>
  <c r="M19"/>
  <c r="I18"/>
  <c r="H18"/>
  <c r="G18"/>
  <c r="J17"/>
  <c r="J16"/>
  <c r="K17" s="1"/>
  <c r="M15"/>
  <c r="L15"/>
  <c r="J14"/>
  <c r="E19" i="80" l="1"/>
  <c r="E19" i="79"/>
  <c r="K46" i="78"/>
  <c r="K47"/>
  <c r="M44" i="85"/>
  <c r="E45"/>
  <c r="K44"/>
  <c r="F35" i="65"/>
  <c r="K18" i="68"/>
  <c r="J18"/>
  <c r="K13"/>
  <c r="L25" s="1"/>
  <c r="K18" i="67"/>
  <c r="J18"/>
  <c r="K13"/>
  <c r="L25" s="1"/>
  <c r="F56" i="66"/>
  <c r="E18"/>
  <c r="J13"/>
  <c r="J42" i="64"/>
  <c r="F13"/>
  <c r="F18" s="1"/>
  <c r="E13"/>
  <c r="K42"/>
  <c r="J41" i="63"/>
  <c r="J40"/>
  <c r="J39"/>
  <c r="J38"/>
  <c r="J37"/>
  <c r="J36"/>
  <c r="J35"/>
  <c r="J34"/>
  <c r="J33"/>
  <c r="J32"/>
  <c r="J31"/>
  <c r="J30"/>
  <c r="J29"/>
  <c r="J28"/>
  <c r="J27"/>
  <c r="J26"/>
  <c r="M18"/>
  <c r="J75"/>
  <c r="H75"/>
  <c r="M72"/>
  <c r="J69"/>
  <c r="M65"/>
  <c r="M67" s="1"/>
  <c r="I63"/>
  <c r="I65" s="1"/>
  <c r="L62"/>
  <c r="J61"/>
  <c r="J63" s="1"/>
  <c r="M59"/>
  <c r="M61" s="1"/>
  <c r="F57"/>
  <c r="M51"/>
  <c r="I42"/>
  <c r="H42"/>
  <c r="G42"/>
  <c r="F42"/>
  <c r="E42"/>
  <c r="K41"/>
  <c r="K40"/>
  <c r="K39"/>
  <c r="K38"/>
  <c r="K37"/>
  <c r="K36"/>
  <c r="K35"/>
  <c r="K34"/>
  <c r="L33"/>
  <c r="L44" s="1"/>
  <c r="M45" s="1"/>
  <c r="K33"/>
  <c r="M31"/>
  <c r="K30"/>
  <c r="K29"/>
  <c r="K28"/>
  <c r="K27"/>
  <c r="K26"/>
  <c r="J25"/>
  <c r="L24"/>
  <c r="K24"/>
  <c r="J24"/>
  <c r="J23"/>
  <c r="J22"/>
  <c r="K21"/>
  <c r="M19"/>
  <c r="I18"/>
  <c r="H18"/>
  <c r="G18"/>
  <c r="J17"/>
  <c r="J16"/>
  <c r="K17" s="1"/>
  <c r="M15"/>
  <c r="L15"/>
  <c r="J14"/>
  <c r="K19" i="80" l="1"/>
  <c r="E20"/>
  <c r="K45" i="85"/>
  <c r="E44" i="86"/>
  <c r="K19" i="79"/>
  <c r="E20"/>
  <c r="J18" i="66"/>
  <c r="K13"/>
  <c r="L25" s="1"/>
  <c r="K18"/>
  <c r="E18" i="64"/>
  <c r="J13"/>
  <c r="F56"/>
  <c r="J42" i="63"/>
  <c r="E13"/>
  <c r="F13"/>
  <c r="F18" s="1"/>
  <c r="K42"/>
  <c r="J41" i="62"/>
  <c r="J40"/>
  <c r="J39"/>
  <c r="J38"/>
  <c r="J37"/>
  <c r="J36"/>
  <c r="J35"/>
  <c r="J34"/>
  <c r="J33"/>
  <c r="J32"/>
  <c r="J31"/>
  <c r="J30"/>
  <c r="J29"/>
  <c r="J28"/>
  <c r="J27"/>
  <c r="J26"/>
  <c r="M18"/>
  <c r="J75"/>
  <c r="H75"/>
  <c r="M72"/>
  <c r="J69"/>
  <c r="M65"/>
  <c r="M67" s="1"/>
  <c r="I63"/>
  <c r="I65" s="1"/>
  <c r="L62"/>
  <c r="J61"/>
  <c r="J63" s="1"/>
  <c r="M59"/>
  <c r="M61" s="1"/>
  <c r="F57"/>
  <c r="M51"/>
  <c r="I42"/>
  <c r="H42"/>
  <c r="G42"/>
  <c r="F42"/>
  <c r="E42"/>
  <c r="K41"/>
  <c r="K40"/>
  <c r="K39"/>
  <c r="K38"/>
  <c r="K37"/>
  <c r="K36"/>
  <c r="K35"/>
  <c r="K34"/>
  <c r="L33"/>
  <c r="L44" s="1"/>
  <c r="M45" s="1"/>
  <c r="K33"/>
  <c r="M31"/>
  <c r="K30"/>
  <c r="K29"/>
  <c r="K28"/>
  <c r="K27"/>
  <c r="K26"/>
  <c r="J25"/>
  <c r="L24"/>
  <c r="K24"/>
  <c r="J24"/>
  <c r="J23"/>
  <c r="J22"/>
  <c r="J42" s="1"/>
  <c r="K21"/>
  <c r="M19"/>
  <c r="I18"/>
  <c r="H18"/>
  <c r="G18"/>
  <c r="J17"/>
  <c r="J16"/>
  <c r="K17" s="1"/>
  <c r="M15"/>
  <c r="L15"/>
  <c r="J14"/>
  <c r="K20" i="79" l="1"/>
  <c r="E46"/>
  <c r="M44" i="86"/>
  <c r="E45"/>
  <c r="K44"/>
  <c r="E46" i="80"/>
  <c r="K20"/>
  <c r="J18" i="64"/>
  <c r="K13"/>
  <c r="L25" s="1"/>
  <c r="K18"/>
  <c r="F56" i="63"/>
  <c r="E18"/>
  <c r="J13"/>
  <c r="F13" i="62"/>
  <c r="F18" s="1"/>
  <c r="E13"/>
  <c r="K42"/>
  <c r="J38" i="61"/>
  <c r="J37"/>
  <c r="J36"/>
  <c r="J35"/>
  <c r="J34"/>
  <c r="J33"/>
  <c r="J32"/>
  <c r="J31"/>
  <c r="J30"/>
  <c r="J29"/>
  <c r="J28"/>
  <c r="J27"/>
  <c r="J26"/>
  <c r="J25"/>
  <c r="J24"/>
  <c r="J23"/>
  <c r="J37" i="60"/>
  <c r="J36"/>
  <c r="J35"/>
  <c r="J34"/>
  <c r="J33"/>
  <c r="J32"/>
  <c r="J31"/>
  <c r="J30"/>
  <c r="J29"/>
  <c r="J28"/>
  <c r="J27"/>
  <c r="J26"/>
  <c r="J25"/>
  <c r="J24"/>
  <c r="J23"/>
  <c r="J41" i="59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5" i="58"/>
  <c r="K46" i="80" l="1"/>
  <c r="K47"/>
  <c r="K45" i="86"/>
  <c r="E44" i="87"/>
  <c r="E44" i="88"/>
  <c r="E19" i="81"/>
  <c r="K46" i="79"/>
  <c r="K47"/>
  <c r="J18" i="63"/>
  <c r="K13"/>
  <c r="L26" s="1"/>
  <c r="K18"/>
  <c r="E18" i="62"/>
  <c r="J13"/>
  <c r="F56"/>
  <c r="M18" i="61"/>
  <c r="J75"/>
  <c r="H75"/>
  <c r="M72"/>
  <c r="J69"/>
  <c r="M65"/>
  <c r="M67" s="1"/>
  <c r="I63"/>
  <c r="I65" s="1"/>
  <c r="L62"/>
  <c r="J61"/>
  <c r="J63" s="1"/>
  <c r="M59"/>
  <c r="M61" s="1"/>
  <c r="F57"/>
  <c r="M51"/>
  <c r="I42"/>
  <c r="H42"/>
  <c r="G42"/>
  <c r="F42"/>
  <c r="E42"/>
  <c r="K41"/>
  <c r="J41"/>
  <c r="K40"/>
  <c r="J40"/>
  <c r="K39"/>
  <c r="J39"/>
  <c r="K38"/>
  <c r="K37"/>
  <c r="K36"/>
  <c r="K35"/>
  <c r="K34"/>
  <c r="L33"/>
  <c r="L44" s="1"/>
  <c r="K33"/>
  <c r="M31"/>
  <c r="K30"/>
  <c r="K29"/>
  <c r="K28"/>
  <c r="K27"/>
  <c r="K26"/>
  <c r="L24"/>
  <c r="K24"/>
  <c r="J22"/>
  <c r="K21"/>
  <c r="M19"/>
  <c r="I18"/>
  <c r="H18"/>
  <c r="G18"/>
  <c r="J17"/>
  <c r="J16"/>
  <c r="K17" s="1"/>
  <c r="M15"/>
  <c r="L15"/>
  <c r="J14"/>
  <c r="M18" i="60"/>
  <c r="J76"/>
  <c r="H76"/>
  <c r="M73"/>
  <c r="J70"/>
  <c r="M66"/>
  <c r="M68" s="1"/>
  <c r="I64"/>
  <c r="I66" s="1"/>
  <c r="L63"/>
  <c r="J62"/>
  <c r="J64" s="1"/>
  <c r="M60"/>
  <c r="M62" s="1"/>
  <c r="F58"/>
  <c r="M51"/>
  <c r="I42"/>
  <c r="H42"/>
  <c r="G42"/>
  <c r="F42"/>
  <c r="E42"/>
  <c r="K41"/>
  <c r="J41"/>
  <c r="K40"/>
  <c r="J40"/>
  <c r="K39"/>
  <c r="J39"/>
  <c r="K38"/>
  <c r="J38"/>
  <c r="K37"/>
  <c r="K36"/>
  <c r="K35"/>
  <c r="K34"/>
  <c r="L33"/>
  <c r="L44" s="1"/>
  <c r="K33"/>
  <c r="M31"/>
  <c r="K30"/>
  <c r="K29"/>
  <c r="K28"/>
  <c r="K27"/>
  <c r="K26"/>
  <c r="L24"/>
  <c r="K24"/>
  <c r="J22"/>
  <c r="K21"/>
  <c r="M19"/>
  <c r="I18"/>
  <c r="H18"/>
  <c r="G18"/>
  <c r="J17"/>
  <c r="J16"/>
  <c r="K17" s="1"/>
  <c r="M15"/>
  <c r="L15"/>
  <c r="J14"/>
  <c r="M18" i="59"/>
  <c r="M19" s="1"/>
  <c r="J77"/>
  <c r="H77"/>
  <c r="M74"/>
  <c r="J71"/>
  <c r="M67"/>
  <c r="M69" s="1"/>
  <c r="I65"/>
  <c r="I67" s="1"/>
  <c r="L64"/>
  <c r="J63"/>
  <c r="J65" s="1"/>
  <c r="M61"/>
  <c r="M63" s="1"/>
  <c r="F59"/>
  <c r="M52"/>
  <c r="I42"/>
  <c r="H42"/>
  <c r="G42"/>
  <c r="F42"/>
  <c r="E42"/>
  <c r="K41"/>
  <c r="K40"/>
  <c r="K39"/>
  <c r="K38"/>
  <c r="K37"/>
  <c r="K36"/>
  <c r="K35"/>
  <c r="K34"/>
  <c r="L33"/>
  <c r="L44" s="1"/>
  <c r="K33"/>
  <c r="M31"/>
  <c r="K30"/>
  <c r="K29"/>
  <c r="K28"/>
  <c r="K27"/>
  <c r="K26"/>
  <c r="L24"/>
  <c r="K24"/>
  <c r="J22"/>
  <c r="J42" s="1"/>
  <c r="K21"/>
  <c r="I18"/>
  <c r="H18"/>
  <c r="G18"/>
  <c r="J17"/>
  <c r="J16"/>
  <c r="K17" s="1"/>
  <c r="M15"/>
  <c r="L15"/>
  <c r="J14"/>
  <c r="M18" i="58"/>
  <c r="J76"/>
  <c r="H76"/>
  <c r="M73"/>
  <c r="J70"/>
  <c r="M68"/>
  <c r="M66"/>
  <c r="I64"/>
  <c r="I66" s="1"/>
  <c r="L63"/>
  <c r="J62"/>
  <c r="J64" s="1"/>
  <c r="M60"/>
  <c r="M62" s="1"/>
  <c r="F58"/>
  <c r="M53"/>
  <c r="I42"/>
  <c r="H42"/>
  <c r="G42"/>
  <c r="F42"/>
  <c r="E42"/>
  <c r="K41"/>
  <c r="J41"/>
  <c r="K40"/>
  <c r="J40"/>
  <c r="K39"/>
  <c r="J39"/>
  <c r="K38"/>
  <c r="J38"/>
  <c r="K37"/>
  <c r="J37"/>
  <c r="K36"/>
  <c r="K35"/>
  <c r="J35"/>
  <c r="K34"/>
  <c r="J34"/>
  <c r="L33"/>
  <c r="L44" s="1"/>
  <c r="K33"/>
  <c r="J33"/>
  <c r="J32"/>
  <c r="M31"/>
  <c r="J31"/>
  <c r="K30"/>
  <c r="J30"/>
  <c r="K29"/>
  <c r="J29"/>
  <c r="K28"/>
  <c r="J28"/>
  <c r="K27"/>
  <c r="J27"/>
  <c r="K26"/>
  <c r="J26"/>
  <c r="L24"/>
  <c r="K24"/>
  <c r="J24"/>
  <c r="J23"/>
  <c r="J22"/>
  <c r="K21"/>
  <c r="M19"/>
  <c r="I18"/>
  <c r="H18"/>
  <c r="G18"/>
  <c r="J17"/>
  <c r="J16"/>
  <c r="K17" s="1"/>
  <c r="M15"/>
  <c r="L15"/>
  <c r="J14"/>
  <c r="M18" i="56"/>
  <c r="J75"/>
  <c r="H75"/>
  <c r="M72"/>
  <c r="J69"/>
  <c r="M65"/>
  <c r="M67" s="1"/>
  <c r="I63"/>
  <c r="I65" s="1"/>
  <c r="L62"/>
  <c r="J61"/>
  <c r="J63" s="1"/>
  <c r="M59"/>
  <c r="M61" s="1"/>
  <c r="F57"/>
  <c r="M52"/>
  <c r="J42"/>
  <c r="G42"/>
  <c r="F42"/>
  <c r="E42"/>
  <c r="I41"/>
  <c r="H41"/>
  <c r="G41"/>
  <c r="F41"/>
  <c r="F43" s="1"/>
  <c r="F43" i="58" s="1"/>
  <c r="E41" i="56"/>
  <c r="K40"/>
  <c r="J40"/>
  <c r="K39"/>
  <c r="J39"/>
  <c r="K38"/>
  <c r="J38"/>
  <c r="K37"/>
  <c r="J37"/>
  <c r="K36"/>
  <c r="J36"/>
  <c r="K35"/>
  <c r="K34"/>
  <c r="J34"/>
  <c r="K33"/>
  <c r="J33"/>
  <c r="L32"/>
  <c r="L43" s="1"/>
  <c r="K32"/>
  <c r="J32"/>
  <c r="J31"/>
  <c r="M30"/>
  <c r="J30"/>
  <c r="K29"/>
  <c r="J29"/>
  <c r="K28"/>
  <c r="J28"/>
  <c r="K27"/>
  <c r="J27"/>
  <c r="K26"/>
  <c r="J26"/>
  <c r="K25"/>
  <c r="J25"/>
  <c r="L24"/>
  <c r="K24"/>
  <c r="J24"/>
  <c r="J23"/>
  <c r="J22"/>
  <c r="K21"/>
  <c r="M19"/>
  <c r="F13" s="1"/>
  <c r="F18" s="1"/>
  <c r="F56" s="1"/>
  <c r="J19"/>
  <c r="H19"/>
  <c r="F19"/>
  <c r="E19"/>
  <c r="I18"/>
  <c r="H18"/>
  <c r="H20" s="1"/>
  <c r="H44" s="1"/>
  <c r="H19" i="58" s="1"/>
  <c r="G18" i="56"/>
  <c r="J17"/>
  <c r="J16"/>
  <c r="M15"/>
  <c r="L15"/>
  <c r="J14"/>
  <c r="F44" i="58" l="1"/>
  <c r="F43" i="59" s="1"/>
  <c r="F44"/>
  <c r="F43" i="60" s="1"/>
  <c r="M44" i="88"/>
  <c r="E45"/>
  <c r="K45" s="1"/>
  <c r="K44"/>
  <c r="K19" i="81"/>
  <c r="E20"/>
  <c r="M44" i="87"/>
  <c r="E45"/>
  <c r="K45" s="1"/>
  <c r="K44"/>
  <c r="J18" i="62"/>
  <c r="K13"/>
  <c r="L26" s="1"/>
  <c r="K18"/>
  <c r="J42" i="60"/>
  <c r="F44"/>
  <c r="F43" i="61" s="1"/>
  <c r="K42" i="59"/>
  <c r="K42" i="58"/>
  <c r="J42"/>
  <c r="G43" i="56"/>
  <c r="G43" i="58" s="1"/>
  <c r="G44" s="1"/>
  <c r="G43" i="59" s="1"/>
  <c r="G44" s="1"/>
  <c r="G43" i="60" s="1"/>
  <c r="G44" s="1"/>
  <c r="G43" i="61" s="1"/>
  <c r="G44" s="1"/>
  <c r="G43" i="62" s="1"/>
  <c r="G44" s="1"/>
  <c r="G43" i="63" s="1"/>
  <c r="G44" s="1"/>
  <c r="E13" i="56"/>
  <c r="H20" i="58"/>
  <c r="H45" s="1"/>
  <c r="H19" i="59" s="1"/>
  <c r="H20" s="1"/>
  <c r="H45" s="1"/>
  <c r="H19" i="60" s="1"/>
  <c r="H20" s="1"/>
  <c r="H45" s="1"/>
  <c r="H19" i="61" s="1"/>
  <c r="H20" s="1"/>
  <c r="H45" s="1"/>
  <c r="H19" i="62" s="1"/>
  <c r="H20" s="1"/>
  <c r="H45" s="1"/>
  <c r="H19" i="63" s="1"/>
  <c r="H20" s="1"/>
  <c r="H45" s="1"/>
  <c r="J41" i="56"/>
  <c r="J43" s="1"/>
  <c r="J43" i="58" s="1"/>
  <c r="K41" i="56"/>
  <c r="J42" i="61"/>
  <c r="K42"/>
  <c r="F13"/>
  <c r="F18" s="1"/>
  <c r="E13"/>
  <c r="M45"/>
  <c r="E13" i="60"/>
  <c r="F13"/>
  <c r="F18" s="1"/>
  <c r="M45"/>
  <c r="K42"/>
  <c r="F13" i="59"/>
  <c r="F18" s="1"/>
  <c r="E13"/>
  <c r="M45"/>
  <c r="F13" i="58"/>
  <c r="F18" s="1"/>
  <c r="E13"/>
  <c r="M45"/>
  <c r="M47" s="1"/>
  <c r="N47" s="1"/>
  <c r="M44" i="56"/>
  <c r="M46" s="1"/>
  <c r="N46" s="1"/>
  <c r="K17"/>
  <c r="E43"/>
  <c r="E43" i="58" s="1"/>
  <c r="E44" s="1"/>
  <c r="E43" i="59" s="1"/>
  <c r="F20" i="56"/>
  <c r="F44" s="1"/>
  <c r="F19" i="58" s="1"/>
  <c r="E44" i="59" l="1"/>
  <c r="E43" i="60" s="1"/>
  <c r="G43" i="66"/>
  <c r="G44" s="1"/>
  <c r="G43" i="64"/>
  <c r="G44" s="1"/>
  <c r="G43" i="67" s="1"/>
  <c r="G44" s="1"/>
  <c r="G44" i="68" s="1"/>
  <c r="G45" s="1"/>
  <c r="H19" i="66"/>
  <c r="H20" s="1"/>
  <c r="H45" s="1"/>
  <c r="H19" i="64"/>
  <c r="H20" s="1"/>
  <c r="H45" s="1"/>
  <c r="H19" i="67" s="1"/>
  <c r="H20" s="1"/>
  <c r="H45" s="1"/>
  <c r="H19" i="68" s="1"/>
  <c r="H20" s="1"/>
  <c r="H46" s="1"/>
  <c r="J44" i="58"/>
  <c r="J43" i="59" s="1"/>
  <c r="J44" s="1"/>
  <c r="J43" i="60" s="1"/>
  <c r="J44"/>
  <c r="J43" i="61" s="1"/>
  <c r="J44"/>
  <c r="J43" i="62" s="1"/>
  <c r="J44" s="1"/>
  <c r="J43" i="63" s="1"/>
  <c r="J44" s="1"/>
  <c r="E46" i="81"/>
  <c r="K20"/>
  <c r="E44" i="60"/>
  <c r="E43" i="61" s="1"/>
  <c r="E44" s="1"/>
  <c r="E43" i="62" s="1"/>
  <c r="F44" i="61"/>
  <c r="F43" i="62" s="1"/>
  <c r="F44" s="1"/>
  <c r="F43" i="63" s="1"/>
  <c r="F44" s="1"/>
  <c r="E18" i="56"/>
  <c r="J13"/>
  <c r="E18" i="61"/>
  <c r="J13"/>
  <c r="F56"/>
  <c r="E18" i="60"/>
  <c r="J13"/>
  <c r="F57"/>
  <c r="E18" i="59"/>
  <c r="J13"/>
  <c r="F58"/>
  <c r="K47" i="58"/>
  <c r="E18"/>
  <c r="J13"/>
  <c r="F57"/>
  <c r="F20"/>
  <c r="F45" s="1"/>
  <c r="F19" i="59" s="1"/>
  <c r="F20" s="1"/>
  <c r="F45" s="1"/>
  <c r="F19" i="60" s="1"/>
  <c r="F20" s="1"/>
  <c r="F45" s="1"/>
  <c r="F19" i="61" s="1"/>
  <c r="F20" s="1"/>
  <c r="F45" s="1"/>
  <c r="F19" i="62" s="1"/>
  <c r="F20" s="1"/>
  <c r="F45" s="1"/>
  <c r="F19" i="63" s="1"/>
  <c r="F20" s="1"/>
  <c r="F45" s="1"/>
  <c r="K46" i="56"/>
  <c r="F19" i="66" l="1"/>
  <c r="F20" s="1"/>
  <c r="F45" s="1"/>
  <c r="F19" i="64"/>
  <c r="F20" s="1"/>
  <c r="F45" s="1"/>
  <c r="F19" i="67" s="1"/>
  <c r="F20" s="1"/>
  <c r="F45" s="1"/>
  <c r="F19" i="68" s="1"/>
  <c r="F20" s="1"/>
  <c r="F46" s="1"/>
  <c r="F43" i="66"/>
  <c r="F44" s="1"/>
  <c r="F43" i="64"/>
  <c r="F44" s="1"/>
  <c r="F43" i="67" s="1"/>
  <c r="F44" s="1"/>
  <c r="F44" i="68" s="1"/>
  <c r="F45" s="1"/>
  <c r="E44" i="62"/>
  <c r="J43" i="66"/>
  <c r="J44" s="1"/>
  <c r="J43" i="64"/>
  <c r="J44" s="1"/>
  <c r="J43" i="67" s="1"/>
  <c r="J44" s="1"/>
  <c r="J44" i="68" s="1"/>
  <c r="J45" s="1"/>
  <c r="H19" i="70"/>
  <c r="H20" s="1"/>
  <c r="H46" s="1"/>
  <c r="H19" i="71"/>
  <c r="H20" s="1"/>
  <c r="H46" s="1"/>
  <c r="H19" i="69"/>
  <c r="H20" s="1"/>
  <c r="H46" s="1"/>
  <c r="G44" i="71"/>
  <c r="G45" s="1"/>
  <c r="G44" i="70"/>
  <c r="G45" s="1"/>
  <c r="G44" i="69"/>
  <c r="G45" s="1"/>
  <c r="E19" i="82"/>
  <c r="K46" i="81"/>
  <c r="K47"/>
  <c r="E20" i="56"/>
  <c r="K18"/>
  <c r="K13"/>
  <c r="L25" s="1"/>
  <c r="J18"/>
  <c r="J20" s="1"/>
  <c r="J44" s="1"/>
  <c r="J19" i="58" s="1"/>
  <c r="J18" i="61"/>
  <c r="K13"/>
  <c r="L26" s="1"/>
  <c r="K18"/>
  <c r="K18" i="60"/>
  <c r="J18"/>
  <c r="K13"/>
  <c r="L26" s="1"/>
  <c r="J18" i="59"/>
  <c r="K13"/>
  <c r="L26" s="1"/>
  <c r="K18"/>
  <c r="J18" i="58"/>
  <c r="K13"/>
  <c r="L26" s="1"/>
  <c r="K18"/>
  <c r="J44" i="71" l="1"/>
  <c r="J45" s="1"/>
  <c r="J44" i="70"/>
  <c r="J45" s="1"/>
  <c r="J44" i="69"/>
  <c r="J45" s="1"/>
  <c r="E43" i="63"/>
  <c r="F44" i="71"/>
  <c r="F45" s="1"/>
  <c r="F44" i="70"/>
  <c r="F45" s="1"/>
  <c r="F44" i="69"/>
  <c r="F45" s="1"/>
  <c r="F19" i="71"/>
  <c r="F20" s="1"/>
  <c r="F46" s="1"/>
  <c r="F19" i="70"/>
  <c r="F20" s="1"/>
  <c r="F46" s="1"/>
  <c r="F19" i="69"/>
  <c r="F20" s="1"/>
  <c r="F46" s="1"/>
  <c r="E20" i="82"/>
  <c r="K19"/>
  <c r="J20" i="58"/>
  <c r="J45" s="1"/>
  <c r="J19" i="59" s="1"/>
  <c r="J20" s="1"/>
  <c r="J45" s="1"/>
  <c r="J19" i="60" s="1"/>
  <c r="J20" s="1"/>
  <c r="J45" s="1"/>
  <c r="J19" i="61" s="1"/>
  <c r="J20" s="1"/>
  <c r="J45" s="1"/>
  <c r="J19" i="62" s="1"/>
  <c r="J20" s="1"/>
  <c r="J45" s="1"/>
  <c r="J19" i="63" s="1"/>
  <c r="J20" s="1"/>
  <c r="J45" s="1"/>
  <c r="E44" i="56"/>
  <c r="E19" i="58" s="1"/>
  <c r="J19" i="66" l="1"/>
  <c r="J20" s="1"/>
  <c r="J45" s="1"/>
  <c r="J19" i="64"/>
  <c r="J20" s="1"/>
  <c r="J45" s="1"/>
  <c r="J19" i="67" s="1"/>
  <c r="J20" s="1"/>
  <c r="J45" s="1"/>
  <c r="J19" i="68" s="1"/>
  <c r="J20" s="1"/>
  <c r="J46" s="1"/>
  <c r="E44" i="63"/>
  <c r="E46" i="82"/>
  <c r="K20"/>
  <c r="K45" i="56"/>
  <c r="E43" i="66" l="1"/>
  <c r="E43" i="64"/>
  <c r="J19" i="71"/>
  <c r="J20" s="1"/>
  <c r="J46" s="1"/>
  <c r="J19" i="70"/>
  <c r="J20" s="1"/>
  <c r="J46" s="1"/>
  <c r="J19" i="69"/>
  <c r="J20" s="1"/>
  <c r="J46" s="1"/>
  <c r="E19" i="84"/>
  <c r="E19" i="83"/>
  <c r="K46" i="82"/>
  <c r="K47"/>
  <c r="E20" i="58"/>
  <c r="J75" i="51"/>
  <c r="H75"/>
  <c r="M72"/>
  <c r="J69"/>
  <c r="M65"/>
  <c r="M67" s="1"/>
  <c r="I63"/>
  <c r="I65" s="1"/>
  <c r="L62"/>
  <c r="J61"/>
  <c r="J63" s="1"/>
  <c r="M59"/>
  <c r="M61" s="1"/>
  <c r="M53"/>
  <c r="I42"/>
  <c r="H42"/>
  <c r="G42"/>
  <c r="G44" s="1"/>
  <c r="F42"/>
  <c r="F44" s="1"/>
  <c r="E42"/>
  <c r="K42" s="1"/>
  <c r="K41"/>
  <c r="J41"/>
  <c r="K40"/>
  <c r="J40"/>
  <c r="K39"/>
  <c r="J39"/>
  <c r="K38"/>
  <c r="J38"/>
  <c r="K37"/>
  <c r="J37"/>
  <c r="K36"/>
  <c r="K35"/>
  <c r="J35"/>
  <c r="K34"/>
  <c r="J34"/>
  <c r="L33"/>
  <c r="L44" s="1"/>
  <c r="K33"/>
  <c r="J33"/>
  <c r="J32"/>
  <c r="J31"/>
  <c r="M30"/>
  <c r="F14" s="1"/>
  <c r="J30"/>
  <c r="K29"/>
  <c r="J29"/>
  <c r="K28"/>
  <c r="J28"/>
  <c r="K27"/>
  <c r="J27"/>
  <c r="K26"/>
  <c r="J26"/>
  <c r="K25"/>
  <c r="J25"/>
  <c r="L24"/>
  <c r="K24"/>
  <c r="J24"/>
  <c r="J23"/>
  <c r="J22"/>
  <c r="J42" s="1"/>
  <c r="J44" s="1"/>
  <c r="K21"/>
  <c r="M19"/>
  <c r="I18"/>
  <c r="H18"/>
  <c r="H20" s="1"/>
  <c r="H45" s="1"/>
  <c r="G18"/>
  <c r="F18"/>
  <c r="E18"/>
  <c r="E20" s="1"/>
  <c r="J17"/>
  <c r="J16"/>
  <c r="K17" s="1"/>
  <c r="M15"/>
  <c r="L15"/>
  <c r="J14"/>
  <c r="J13"/>
  <c r="K13" s="1"/>
  <c r="E44" i="66" l="1"/>
  <c r="E44" i="64"/>
  <c r="K19" i="84"/>
  <c r="E20"/>
  <c r="K19" i="83"/>
  <c r="E20"/>
  <c r="E45" i="58"/>
  <c r="E19" i="59" s="1"/>
  <c r="L25" i="51"/>
  <c r="J18"/>
  <c r="J20" s="1"/>
  <c r="J45" s="1"/>
  <c r="E45"/>
  <c r="M45"/>
  <c r="M47" s="1"/>
  <c r="N47" s="1"/>
  <c r="K18"/>
  <c r="F20"/>
  <c r="F45" s="1"/>
  <c r="E44"/>
  <c r="N28" i="48"/>
  <c r="H90"/>
  <c r="H92" s="1"/>
  <c r="G87"/>
  <c r="I86"/>
  <c r="H84"/>
  <c r="H86" s="1"/>
  <c r="I76"/>
  <c r="I78" s="1"/>
  <c r="I80" s="1"/>
  <c r="I82" s="1"/>
  <c r="G76"/>
  <c r="G78" s="1"/>
  <c r="H75"/>
  <c r="L71"/>
  <c r="J67"/>
  <c r="J66"/>
  <c r="J68" s="1"/>
  <c r="J69" s="1"/>
  <c r="J64"/>
  <c r="G63"/>
  <c r="I60"/>
  <c r="I62" s="1"/>
  <c r="I64" s="1"/>
  <c r="H60"/>
  <c r="H62" s="1"/>
  <c r="H64" s="1"/>
  <c r="H66" s="1"/>
  <c r="L58"/>
  <c r="L60" s="1"/>
  <c r="N57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0"/>
  <c r="N29"/>
  <c r="N27"/>
  <c r="H26"/>
  <c r="H38" s="1"/>
  <c r="G26"/>
  <c r="G38" s="1"/>
  <c r="N23"/>
  <c r="M23"/>
  <c r="O23" s="1"/>
  <c r="O22"/>
  <c r="O21"/>
  <c r="O20"/>
  <c r="O19"/>
  <c r="I19"/>
  <c r="O18"/>
  <c r="O17"/>
  <c r="F17"/>
  <c r="F26" s="1"/>
  <c r="O16"/>
  <c r="O15"/>
  <c r="O14"/>
  <c r="O13"/>
  <c r="O12"/>
  <c r="I12"/>
  <c r="O11"/>
  <c r="O24" s="1"/>
  <c r="J16" i="46"/>
  <c r="E43" i="67" l="1"/>
  <c r="E20" i="59"/>
  <c r="E46" i="83"/>
  <c r="K20"/>
  <c r="E46" i="84"/>
  <c r="K20"/>
  <c r="K46" i="58"/>
  <c r="K47" i="51"/>
  <c r="K46"/>
  <c r="I17" i="48"/>
  <c r="I26"/>
  <c r="I38"/>
  <c r="I53" s="1"/>
  <c r="F38"/>
  <c r="M26"/>
  <c r="M27" s="1"/>
  <c r="M29" s="1"/>
  <c r="G80"/>
  <c r="H76"/>
  <c r="I47"/>
  <c r="E45" i="59" l="1"/>
  <c r="E44" i="67"/>
  <c r="E19" i="85"/>
  <c r="K46" i="83"/>
  <c r="K47"/>
  <c r="K46" i="84"/>
  <c r="K47"/>
  <c r="E44" i="68" l="1"/>
  <c r="E19" i="60"/>
  <c r="K46" i="59"/>
  <c r="K19" i="85"/>
  <c r="E20"/>
  <c r="E16" i="33"/>
  <c r="F16"/>
  <c r="E20" i="60" l="1"/>
  <c r="E45" i="68"/>
  <c r="E46" i="85"/>
  <c r="K20"/>
  <c r="F26" i="46"/>
  <c r="J31"/>
  <c r="J30"/>
  <c r="F26" i="44"/>
  <c r="J75" i="46"/>
  <c r="H75"/>
  <c r="M72"/>
  <c r="J69"/>
  <c r="M65"/>
  <c r="M67" s="1"/>
  <c r="I63"/>
  <c r="I65" s="1"/>
  <c r="L62"/>
  <c r="J61"/>
  <c r="J63" s="1"/>
  <c r="M59"/>
  <c r="M61" s="1"/>
  <c r="F57"/>
  <c r="M52"/>
  <c r="I41"/>
  <c r="H41"/>
  <c r="G41"/>
  <c r="F41"/>
  <c r="E41"/>
  <c r="K40"/>
  <c r="J40"/>
  <c r="K39"/>
  <c r="J39"/>
  <c r="K38"/>
  <c r="J38"/>
  <c r="K37"/>
  <c r="J37"/>
  <c r="K36"/>
  <c r="J36"/>
  <c r="K35"/>
  <c r="K34"/>
  <c r="J34"/>
  <c r="K33"/>
  <c r="J33"/>
  <c r="L32"/>
  <c r="L43" s="1"/>
  <c r="K32"/>
  <c r="J32"/>
  <c r="K29"/>
  <c r="J29"/>
  <c r="K28"/>
  <c r="J28"/>
  <c r="K27"/>
  <c r="J27"/>
  <c r="K26"/>
  <c r="J26"/>
  <c r="M25"/>
  <c r="K25"/>
  <c r="J25"/>
  <c r="L24"/>
  <c r="K24"/>
  <c r="J24"/>
  <c r="J23"/>
  <c r="J22"/>
  <c r="K21"/>
  <c r="M19"/>
  <c r="I18"/>
  <c r="H18"/>
  <c r="G18"/>
  <c r="J17"/>
  <c r="K17"/>
  <c r="M15"/>
  <c r="L15"/>
  <c r="J14"/>
  <c r="M18" i="45"/>
  <c r="E44" i="71" l="1"/>
  <c r="E44" i="70"/>
  <c r="E44" i="69"/>
  <c r="E45" i="60"/>
  <c r="E19" i="86"/>
  <c r="K46" i="85"/>
  <c r="K47"/>
  <c r="J41" i="46"/>
  <c r="K41"/>
  <c r="M44"/>
  <c r="M46" s="1"/>
  <c r="N46" s="1"/>
  <c r="F13"/>
  <c r="F18" s="1"/>
  <c r="E13"/>
  <c r="E19" i="44"/>
  <c r="J73" i="45"/>
  <c r="H73"/>
  <c r="M70"/>
  <c r="J67"/>
  <c r="M63"/>
  <c r="M65" s="1"/>
  <c r="I61"/>
  <c r="I63" s="1"/>
  <c r="L60"/>
  <c r="J59"/>
  <c r="J61" s="1"/>
  <c r="M57"/>
  <c r="M59" s="1"/>
  <c r="F55"/>
  <c r="M50"/>
  <c r="I39"/>
  <c r="H39"/>
  <c r="G39"/>
  <c r="E39"/>
  <c r="K38"/>
  <c r="J38"/>
  <c r="K37"/>
  <c r="J37"/>
  <c r="K36"/>
  <c r="J36"/>
  <c r="K35"/>
  <c r="J35"/>
  <c r="K34"/>
  <c r="J34"/>
  <c r="K33"/>
  <c r="K32"/>
  <c r="J32"/>
  <c r="K31"/>
  <c r="J31"/>
  <c r="L30"/>
  <c r="L41" s="1"/>
  <c r="K30"/>
  <c r="J30"/>
  <c r="K29"/>
  <c r="J29"/>
  <c r="K28"/>
  <c r="J28"/>
  <c r="K27"/>
  <c r="J27"/>
  <c r="J26"/>
  <c r="M25"/>
  <c r="K25"/>
  <c r="J25"/>
  <c r="L24"/>
  <c r="K24"/>
  <c r="J24"/>
  <c r="J23"/>
  <c r="J22"/>
  <c r="K21"/>
  <c r="M19"/>
  <c r="I18"/>
  <c r="H18"/>
  <c r="G18"/>
  <c r="J17"/>
  <c r="J16"/>
  <c r="K17" s="1"/>
  <c r="M15"/>
  <c r="L15"/>
  <c r="J14"/>
  <c r="K46" i="60" l="1"/>
  <c r="E19" i="61"/>
  <c r="E45" i="70"/>
  <c r="E45" i="69"/>
  <c r="E45" i="71"/>
  <c r="K19" i="86"/>
  <c r="E20"/>
  <c r="F56" i="46"/>
  <c r="J13"/>
  <c r="E18"/>
  <c r="J39" i="45"/>
  <c r="E13"/>
  <c r="F13"/>
  <c r="F18" s="1"/>
  <c r="M42"/>
  <c r="M44" s="1"/>
  <c r="N44" s="1"/>
  <c r="K26"/>
  <c r="F39"/>
  <c r="E20" i="61" l="1"/>
  <c r="E46" i="86"/>
  <c r="K20"/>
  <c r="K18" i="46"/>
  <c r="J18"/>
  <c r="K13"/>
  <c r="L25" s="1"/>
  <c r="F54" i="45"/>
  <c r="K39"/>
  <c r="E18"/>
  <c r="J13"/>
  <c r="J23" i="44"/>
  <c r="J22"/>
  <c r="I39"/>
  <c r="H39"/>
  <c r="G39"/>
  <c r="E39"/>
  <c r="F39"/>
  <c r="F40"/>
  <c r="J40"/>
  <c r="E40"/>
  <c r="E41" s="1"/>
  <c r="E40" i="45" s="1"/>
  <c r="E41" s="1"/>
  <c r="E42" i="46" s="1"/>
  <c r="E43" s="1"/>
  <c r="F19" i="44"/>
  <c r="J19"/>
  <c r="M18"/>
  <c r="M19" s="1"/>
  <c r="E13" s="1"/>
  <c r="J73"/>
  <c r="H73"/>
  <c r="M70"/>
  <c r="J67"/>
  <c r="M63"/>
  <c r="M65" s="1"/>
  <c r="I61"/>
  <c r="I63" s="1"/>
  <c r="L60"/>
  <c r="J59"/>
  <c r="J61" s="1"/>
  <c r="M57"/>
  <c r="M59" s="1"/>
  <c r="F55"/>
  <c r="M50"/>
  <c r="K38"/>
  <c r="J38"/>
  <c r="K37"/>
  <c r="J37"/>
  <c r="K36"/>
  <c r="J36"/>
  <c r="K35"/>
  <c r="J35"/>
  <c r="K34"/>
  <c r="J34"/>
  <c r="K33"/>
  <c r="K32"/>
  <c r="J32"/>
  <c r="K31"/>
  <c r="J31"/>
  <c r="L30"/>
  <c r="L41" s="1"/>
  <c r="K30"/>
  <c r="J30"/>
  <c r="K29"/>
  <c r="J29"/>
  <c r="K28"/>
  <c r="J28"/>
  <c r="K27"/>
  <c r="J27"/>
  <c r="K26"/>
  <c r="J26"/>
  <c r="M25"/>
  <c r="K25"/>
  <c r="J25"/>
  <c r="L24"/>
  <c r="K24"/>
  <c r="J24"/>
  <c r="K21"/>
  <c r="I18"/>
  <c r="H18"/>
  <c r="G18"/>
  <c r="J17"/>
  <c r="J16"/>
  <c r="K17" s="1"/>
  <c r="M15"/>
  <c r="L15"/>
  <c r="J14"/>
  <c r="E45" i="61" l="1"/>
  <c r="E19" i="88"/>
  <c r="E19" i="87"/>
  <c r="K46" i="86"/>
  <c r="K47"/>
  <c r="J18" i="45"/>
  <c r="K13"/>
  <c r="L25" s="1"/>
  <c r="K18"/>
  <c r="J39" i="44"/>
  <c r="J41" s="1"/>
  <c r="F13"/>
  <c r="F18" s="1"/>
  <c r="F54" s="1"/>
  <c r="F41"/>
  <c r="M42"/>
  <c r="M44" s="1"/>
  <c r="N44" s="1"/>
  <c r="E18"/>
  <c r="E20" s="1"/>
  <c r="J13"/>
  <c r="F20"/>
  <c r="F42" s="1"/>
  <c r="K39"/>
  <c r="E19" i="62" l="1"/>
  <c r="K46" i="61"/>
  <c r="K19" i="88"/>
  <c r="E20"/>
  <c r="K19" i="87"/>
  <c r="E20"/>
  <c r="F40" i="45"/>
  <c r="K44" i="44"/>
  <c r="F19" i="45"/>
  <c r="F20" s="1"/>
  <c r="F42" s="1"/>
  <c r="F19" i="46" s="1"/>
  <c r="J40" i="45"/>
  <c r="J41" s="1"/>
  <c r="J42" i="46" s="1"/>
  <c r="J43" s="1"/>
  <c r="J18" i="44"/>
  <c r="J20" s="1"/>
  <c r="J42" s="1"/>
  <c r="K13"/>
  <c r="L25" s="1"/>
  <c r="K18"/>
  <c r="M18" i="43"/>
  <c r="J31" i="42"/>
  <c r="J73" i="43"/>
  <c r="H73"/>
  <c r="M70"/>
  <c r="J67"/>
  <c r="M65"/>
  <c r="M63"/>
  <c r="I61"/>
  <c r="I63" s="1"/>
  <c r="L60"/>
  <c r="J59"/>
  <c r="J61" s="1"/>
  <c r="M57"/>
  <c r="M59" s="1"/>
  <c r="F55"/>
  <c r="M50"/>
  <c r="I38"/>
  <c r="H38"/>
  <c r="G38"/>
  <c r="F38"/>
  <c r="F40" s="1"/>
  <c r="E38"/>
  <c r="K37"/>
  <c r="J37"/>
  <c r="K36"/>
  <c r="J36"/>
  <c r="K35"/>
  <c r="J35"/>
  <c r="K34"/>
  <c r="J34"/>
  <c r="K33"/>
  <c r="J33"/>
  <c r="K32"/>
  <c r="J32"/>
  <c r="K31"/>
  <c r="K30"/>
  <c r="J30"/>
  <c r="K29"/>
  <c r="J29"/>
  <c r="L28"/>
  <c r="L40" s="1"/>
  <c r="K28"/>
  <c r="J28"/>
  <c r="K27"/>
  <c r="J27"/>
  <c r="K26"/>
  <c r="J26"/>
  <c r="K25"/>
  <c r="J25"/>
  <c r="K24"/>
  <c r="J24"/>
  <c r="M23"/>
  <c r="K23"/>
  <c r="J23"/>
  <c r="L22"/>
  <c r="K22"/>
  <c r="J22"/>
  <c r="K21"/>
  <c r="M19"/>
  <c r="I18"/>
  <c r="H18"/>
  <c r="G18"/>
  <c r="J17"/>
  <c r="J16"/>
  <c r="K17" s="1"/>
  <c r="M15"/>
  <c r="L15"/>
  <c r="J14"/>
  <c r="J73" i="42"/>
  <c r="H73"/>
  <c r="M70"/>
  <c r="J67"/>
  <c r="M63"/>
  <c r="M65" s="1"/>
  <c r="I61"/>
  <c r="I63" s="1"/>
  <c r="L60"/>
  <c r="J59"/>
  <c r="J61" s="1"/>
  <c r="M57"/>
  <c r="M59" s="1"/>
  <c r="F55"/>
  <c r="M50"/>
  <c r="I38"/>
  <c r="H38"/>
  <c r="G38"/>
  <c r="E38"/>
  <c r="K37"/>
  <c r="J37"/>
  <c r="K36"/>
  <c r="J36"/>
  <c r="K35"/>
  <c r="J35"/>
  <c r="K34"/>
  <c r="J34"/>
  <c r="K33"/>
  <c r="J33"/>
  <c r="K32"/>
  <c r="J32"/>
  <c r="K31"/>
  <c r="K30"/>
  <c r="J30"/>
  <c r="K29"/>
  <c r="J29"/>
  <c r="K28"/>
  <c r="J28"/>
  <c r="L28"/>
  <c r="L40" s="1"/>
  <c r="K26"/>
  <c r="J26"/>
  <c r="K25"/>
  <c r="J25"/>
  <c r="K24"/>
  <c r="M23"/>
  <c r="J23"/>
  <c r="L22"/>
  <c r="K22"/>
  <c r="J22"/>
  <c r="K21"/>
  <c r="M18"/>
  <c r="M19" s="1"/>
  <c r="I18"/>
  <c r="H18"/>
  <c r="G18"/>
  <c r="J17"/>
  <c r="J16"/>
  <c r="K17" s="1"/>
  <c r="M15"/>
  <c r="L15"/>
  <c r="J14"/>
  <c r="M19" i="41"/>
  <c r="E20" i="62" l="1"/>
  <c r="E46" i="87"/>
  <c r="K20"/>
  <c r="E46" i="88"/>
  <c r="K20"/>
  <c r="J19" i="45"/>
  <c r="J20" s="1"/>
  <c r="J42" s="1"/>
  <c r="J19" i="46" s="1"/>
  <c r="J20" s="1"/>
  <c r="J44" s="1"/>
  <c r="F41" i="45"/>
  <c r="F42" i="46" s="1"/>
  <c r="F20"/>
  <c r="F43"/>
  <c r="E42" i="44"/>
  <c r="J38" i="43"/>
  <c r="J40" s="1"/>
  <c r="K38"/>
  <c r="E13"/>
  <c r="F18"/>
  <c r="M41"/>
  <c r="M44" s="1"/>
  <c r="N44" s="1"/>
  <c r="E40"/>
  <c r="E13" i="42"/>
  <c r="F13"/>
  <c r="F18" s="1"/>
  <c r="M41"/>
  <c r="M44" s="1"/>
  <c r="N44" s="1"/>
  <c r="K23"/>
  <c r="J24"/>
  <c r="J38" s="1"/>
  <c r="J40" s="1"/>
  <c r="K27"/>
  <c r="F38"/>
  <c r="F40" s="1"/>
  <c r="J27"/>
  <c r="M18" i="41"/>
  <c r="J73"/>
  <c r="H73"/>
  <c r="M70"/>
  <c r="J67"/>
  <c r="M65"/>
  <c r="M63"/>
  <c r="I61"/>
  <c r="I63" s="1"/>
  <c r="L60"/>
  <c r="J59"/>
  <c r="J61" s="1"/>
  <c r="M57"/>
  <c r="M59" s="1"/>
  <c r="F55"/>
  <c r="M50"/>
  <c r="I38"/>
  <c r="H38"/>
  <c r="G38"/>
  <c r="E38"/>
  <c r="K37"/>
  <c r="J37"/>
  <c r="K36"/>
  <c r="J36"/>
  <c r="K35"/>
  <c r="J35"/>
  <c r="K34"/>
  <c r="J34"/>
  <c r="K33"/>
  <c r="J33"/>
  <c r="K32"/>
  <c r="J32"/>
  <c r="K31"/>
  <c r="K30"/>
  <c r="J30"/>
  <c r="K29"/>
  <c r="J29"/>
  <c r="K28"/>
  <c r="J28"/>
  <c r="J27"/>
  <c r="F27"/>
  <c r="L28" s="1"/>
  <c r="L40" s="1"/>
  <c r="K26"/>
  <c r="J26"/>
  <c r="K25"/>
  <c r="J25"/>
  <c r="F24"/>
  <c r="K24" s="1"/>
  <c r="M23"/>
  <c r="F23"/>
  <c r="J23" s="1"/>
  <c r="L22"/>
  <c r="K22"/>
  <c r="J22"/>
  <c r="K21"/>
  <c r="I18"/>
  <c r="H18"/>
  <c r="G18"/>
  <c r="J17"/>
  <c r="J16"/>
  <c r="K17" s="1"/>
  <c r="M15"/>
  <c r="L15"/>
  <c r="J14"/>
  <c r="E45" i="62" l="1"/>
  <c r="K46" i="88"/>
  <c r="K47"/>
  <c r="K46" i="87"/>
  <c r="K47"/>
  <c r="E19" i="45"/>
  <c r="K46" i="46"/>
  <c r="F44"/>
  <c r="K44" i="45"/>
  <c r="K43" i="44"/>
  <c r="F54" i="43"/>
  <c r="F20"/>
  <c r="F41" s="1"/>
  <c r="K44"/>
  <c r="E18"/>
  <c r="J13"/>
  <c r="F54" i="42"/>
  <c r="F20"/>
  <c r="F41" s="1"/>
  <c r="K38"/>
  <c r="E18"/>
  <c r="J13"/>
  <c r="E13" i="41"/>
  <c r="F13"/>
  <c r="F18" s="1"/>
  <c r="M41"/>
  <c r="M44" s="1"/>
  <c r="N44" s="1"/>
  <c r="K23"/>
  <c r="J24"/>
  <c r="J38" s="1"/>
  <c r="K27"/>
  <c r="F38"/>
  <c r="F27" i="40"/>
  <c r="F24"/>
  <c r="F23"/>
  <c r="E19" i="63" l="1"/>
  <c r="K46" i="62"/>
  <c r="J18" i="43"/>
  <c r="J20" s="1"/>
  <c r="J41" s="1"/>
  <c r="K13"/>
  <c r="L23" s="1"/>
  <c r="K18"/>
  <c r="E20"/>
  <c r="E20" i="42"/>
  <c r="K18"/>
  <c r="J18"/>
  <c r="K13"/>
  <c r="L23" s="1"/>
  <c r="E18" i="41"/>
  <c r="J13"/>
  <c r="F54"/>
  <c r="K38"/>
  <c r="M18" i="40"/>
  <c r="M19" s="1"/>
  <c r="J73"/>
  <c r="H73"/>
  <c r="M70"/>
  <c r="J67"/>
  <c r="M65"/>
  <c r="M63"/>
  <c r="I61"/>
  <c r="I63" s="1"/>
  <c r="L60"/>
  <c r="J59"/>
  <c r="J61" s="1"/>
  <c r="M57"/>
  <c r="M59" s="1"/>
  <c r="F55"/>
  <c r="M50"/>
  <c r="I38"/>
  <c r="H38"/>
  <c r="G38"/>
  <c r="E38"/>
  <c r="K37"/>
  <c r="J37"/>
  <c r="K36"/>
  <c r="J36"/>
  <c r="K35"/>
  <c r="J35"/>
  <c r="K34"/>
  <c r="J34"/>
  <c r="K33"/>
  <c r="J33"/>
  <c r="K32"/>
  <c r="J32"/>
  <c r="K31"/>
  <c r="K30"/>
  <c r="J30"/>
  <c r="K29"/>
  <c r="J29"/>
  <c r="K28"/>
  <c r="J28"/>
  <c r="J27"/>
  <c r="L28"/>
  <c r="L40" s="1"/>
  <c r="K26"/>
  <c r="J26"/>
  <c r="K25"/>
  <c r="J24"/>
  <c r="K24"/>
  <c r="M23"/>
  <c r="K23"/>
  <c r="L22"/>
  <c r="K22"/>
  <c r="J22"/>
  <c r="K21"/>
  <c r="I18"/>
  <c r="H18"/>
  <c r="G18"/>
  <c r="J17"/>
  <c r="J16"/>
  <c r="K17" s="1"/>
  <c r="M15"/>
  <c r="L15"/>
  <c r="J14"/>
  <c r="M18" i="39"/>
  <c r="M18" i="38"/>
  <c r="M18" i="37"/>
  <c r="E20" i="63" l="1"/>
  <c r="E41" i="43"/>
  <c r="E41" i="42"/>
  <c r="J18" i="41"/>
  <c r="K13"/>
  <c r="L23" s="1"/>
  <c r="K18"/>
  <c r="F13" i="40"/>
  <c r="F18" s="1"/>
  <c r="E13"/>
  <c r="M41"/>
  <c r="M44" s="1"/>
  <c r="N44" s="1"/>
  <c r="J23"/>
  <c r="J25"/>
  <c r="K27"/>
  <c r="F38"/>
  <c r="N19" i="38"/>
  <c r="E45" i="63" l="1"/>
  <c r="K42" i="43"/>
  <c r="K42" i="42"/>
  <c r="J38" i="40"/>
  <c r="F54"/>
  <c r="E18"/>
  <c r="J13"/>
  <c r="K38"/>
  <c r="E19" i="66" l="1"/>
  <c r="E19" i="64"/>
  <c r="K46" i="63"/>
  <c r="J18" i="40"/>
  <c r="K13"/>
  <c r="L23" s="1"/>
  <c r="K18"/>
  <c r="J82" i="33"/>
  <c r="J80"/>
  <c r="E20" i="66" l="1"/>
  <c r="E20" i="64"/>
  <c r="F27" i="39"/>
  <c r="F25"/>
  <c r="J25" s="1"/>
  <c r="F24"/>
  <c r="F23"/>
  <c r="J73"/>
  <c r="H73"/>
  <c r="M70"/>
  <c r="J67"/>
  <c r="M65"/>
  <c r="M63"/>
  <c r="I61"/>
  <c r="I63" s="1"/>
  <c r="L60"/>
  <c r="J59"/>
  <c r="J61" s="1"/>
  <c r="M57"/>
  <c r="M59" s="1"/>
  <c r="F55"/>
  <c r="M50"/>
  <c r="I38"/>
  <c r="H38"/>
  <c r="G38"/>
  <c r="E38"/>
  <c r="K37"/>
  <c r="J37"/>
  <c r="K36"/>
  <c r="J36"/>
  <c r="K35"/>
  <c r="J35"/>
  <c r="K34"/>
  <c r="J34"/>
  <c r="K33"/>
  <c r="J33"/>
  <c r="K32"/>
  <c r="J32"/>
  <c r="K31"/>
  <c r="K30"/>
  <c r="J30"/>
  <c r="K29"/>
  <c r="J29"/>
  <c r="L28"/>
  <c r="L40" s="1"/>
  <c r="K28"/>
  <c r="J28"/>
  <c r="J27"/>
  <c r="K27"/>
  <c r="K26"/>
  <c r="J26"/>
  <c r="K25"/>
  <c r="J24"/>
  <c r="M23"/>
  <c r="J23"/>
  <c r="L22"/>
  <c r="K22"/>
  <c r="J22"/>
  <c r="K21"/>
  <c r="M19"/>
  <c r="F13" s="1"/>
  <c r="F18" s="1"/>
  <c r="I18"/>
  <c r="H18"/>
  <c r="G18"/>
  <c r="J17"/>
  <c r="J16"/>
  <c r="K17" s="1"/>
  <c r="M15"/>
  <c r="L15"/>
  <c r="J14"/>
  <c r="E13"/>
  <c r="E18" s="1"/>
  <c r="M27" i="5"/>
  <c r="E45" i="64" l="1"/>
  <c r="E45" i="66"/>
  <c r="F38" i="39"/>
  <c r="J38"/>
  <c r="K18"/>
  <c r="F54"/>
  <c r="M41"/>
  <c r="M44" s="1"/>
  <c r="N44" s="1"/>
  <c r="K24"/>
  <c r="K38"/>
  <c r="J13"/>
  <c r="K23"/>
  <c r="F23" i="38"/>
  <c r="F27"/>
  <c r="K46" i="66" l="1"/>
  <c r="E19" i="67"/>
  <c r="K46" i="64"/>
  <c r="J18" i="39"/>
  <c r="K13"/>
  <c r="L23" s="1"/>
  <c r="L22" i="33"/>
  <c r="L21"/>
  <c r="N23"/>
  <c r="K41" i="36"/>
  <c r="M23" i="33"/>
  <c r="M26" s="1"/>
  <c r="M27"/>
  <c r="E20" i="67" l="1"/>
  <c r="M25" i="33"/>
  <c r="M28"/>
  <c r="F24" i="38"/>
  <c r="E45" i="67" l="1"/>
  <c r="F23" i="37"/>
  <c r="F24"/>
  <c r="F25"/>
  <c r="E19" i="68" l="1"/>
  <c r="K46" i="67"/>
  <c r="J73" i="38"/>
  <c r="H73"/>
  <c r="M70"/>
  <c r="J67"/>
  <c r="M65"/>
  <c r="M63"/>
  <c r="I61"/>
  <c r="I63" s="1"/>
  <c r="L60"/>
  <c r="J59"/>
  <c r="J61" s="1"/>
  <c r="M57"/>
  <c r="M59" s="1"/>
  <c r="F55"/>
  <c r="M50"/>
  <c r="I38"/>
  <c r="H38"/>
  <c r="G38"/>
  <c r="F38"/>
  <c r="E38"/>
  <c r="K37"/>
  <c r="J37"/>
  <c r="K36"/>
  <c r="J36"/>
  <c r="K35"/>
  <c r="J35"/>
  <c r="K34"/>
  <c r="J34"/>
  <c r="K33"/>
  <c r="J33"/>
  <c r="K32"/>
  <c r="J32"/>
  <c r="K31"/>
  <c r="K30"/>
  <c r="J30"/>
  <c r="K29"/>
  <c r="J29"/>
  <c r="L28"/>
  <c r="L40" s="1"/>
  <c r="K28"/>
  <c r="J28"/>
  <c r="K27"/>
  <c r="J27"/>
  <c r="K26"/>
  <c r="J26"/>
  <c r="K25"/>
  <c r="J25"/>
  <c r="K24"/>
  <c r="J24"/>
  <c r="M23"/>
  <c r="K23"/>
  <c r="J23"/>
  <c r="L22"/>
  <c r="K22"/>
  <c r="J22"/>
  <c r="K21"/>
  <c r="M19"/>
  <c r="F13" s="1"/>
  <c r="F18" s="1"/>
  <c r="I18"/>
  <c r="H18"/>
  <c r="G18"/>
  <c r="J17"/>
  <c r="J16"/>
  <c r="K17" s="1"/>
  <c r="M15"/>
  <c r="L15"/>
  <c r="J14"/>
  <c r="E20" i="68" l="1"/>
  <c r="E13" i="38"/>
  <c r="E18" s="1"/>
  <c r="K18" s="1"/>
  <c r="J38"/>
  <c r="K38"/>
  <c r="F54"/>
  <c r="M41"/>
  <c r="M44" s="1"/>
  <c r="N44" s="1"/>
  <c r="J13"/>
  <c r="J73" i="37"/>
  <c r="H73"/>
  <c r="M70"/>
  <c r="J67"/>
  <c r="M65"/>
  <c r="M63"/>
  <c r="I61"/>
  <c r="I63" s="1"/>
  <c r="L60"/>
  <c r="J59"/>
  <c r="J61" s="1"/>
  <c r="M57"/>
  <c r="M59" s="1"/>
  <c r="F55"/>
  <c r="M50"/>
  <c r="I38"/>
  <c r="H38"/>
  <c r="G38"/>
  <c r="E38"/>
  <c r="K37"/>
  <c r="J37"/>
  <c r="K36"/>
  <c r="J36"/>
  <c r="K35"/>
  <c r="J35"/>
  <c r="K34"/>
  <c r="J34"/>
  <c r="K33"/>
  <c r="J33"/>
  <c r="K32"/>
  <c r="J32"/>
  <c r="K31"/>
  <c r="K30"/>
  <c r="J30"/>
  <c r="K29"/>
  <c r="J29"/>
  <c r="L28"/>
  <c r="L40" s="1"/>
  <c r="K28"/>
  <c r="J28"/>
  <c r="J27"/>
  <c r="K27"/>
  <c r="K26"/>
  <c r="J26"/>
  <c r="J25"/>
  <c r="J24"/>
  <c r="K24"/>
  <c r="M23"/>
  <c r="F38"/>
  <c r="L22"/>
  <c r="K22"/>
  <c r="J22"/>
  <c r="K21"/>
  <c r="M19"/>
  <c r="I18"/>
  <c r="H18"/>
  <c r="G18"/>
  <c r="J17"/>
  <c r="J16"/>
  <c r="K17" s="1"/>
  <c r="M15"/>
  <c r="L15"/>
  <c r="J14"/>
  <c r="E46" i="68" l="1"/>
  <c r="J18" i="38"/>
  <c r="K13"/>
  <c r="L23" s="1"/>
  <c r="E13" i="37"/>
  <c r="F13"/>
  <c r="F18" s="1"/>
  <c r="M41"/>
  <c r="M44" s="1"/>
  <c r="N44" s="1"/>
  <c r="K23"/>
  <c r="K25"/>
  <c r="K38"/>
  <c r="J23"/>
  <c r="J38" s="1"/>
  <c r="L36" i="36"/>
  <c r="C55"/>
  <c r="B55"/>
  <c r="M19"/>
  <c r="M17"/>
  <c r="M16"/>
  <c r="M15"/>
  <c r="L10"/>
  <c r="L11"/>
  <c r="L12"/>
  <c r="L13"/>
  <c r="I15"/>
  <c r="E19" i="71" l="1"/>
  <c r="E19" i="70"/>
  <c r="E19" i="69"/>
  <c r="K47" i="68"/>
  <c r="E18" i="37"/>
  <c r="J13"/>
  <c r="F54"/>
  <c r="L73" i="36"/>
  <c r="L70"/>
  <c r="M43"/>
  <c r="M58"/>
  <c r="M20"/>
  <c r="M28"/>
  <c r="L14"/>
  <c r="L29" s="1"/>
  <c r="E20" i="69" l="1"/>
  <c r="E20" i="71"/>
  <c r="E20" i="70"/>
  <c r="K18" i="37"/>
  <c r="J18"/>
  <c r="K13"/>
  <c r="L23" s="1"/>
  <c r="M29" i="36"/>
  <c r="L74"/>
  <c r="M60"/>
  <c r="M62" s="1"/>
  <c r="L71" i="33"/>
  <c r="L70"/>
  <c r="L72" s="1"/>
  <c r="K72"/>
  <c r="K74" s="1"/>
  <c r="K76" s="1"/>
  <c r="E46" i="70" l="1"/>
  <c r="E46" i="71"/>
  <c r="E46" i="69"/>
  <c r="F25" i="35"/>
  <c r="F27"/>
  <c r="F24"/>
  <c r="F23"/>
  <c r="F39" i="34"/>
  <c r="G39"/>
  <c r="H39"/>
  <c r="I39"/>
  <c r="J39"/>
  <c r="E39"/>
  <c r="F24"/>
  <c r="K47" i="70" l="1"/>
  <c r="K47" i="69"/>
  <c r="K47" i="71"/>
  <c r="M18" i="35"/>
  <c r="M18" i="34"/>
  <c r="J73" i="35"/>
  <c r="H73"/>
  <c r="M70"/>
  <c r="J67"/>
  <c r="M63"/>
  <c r="M65" s="1"/>
  <c r="I61"/>
  <c r="I63" s="1"/>
  <c r="L60"/>
  <c r="J59"/>
  <c r="J61" s="1"/>
  <c r="M57"/>
  <c r="M59" s="1"/>
  <c r="F55"/>
  <c r="M50"/>
  <c r="I38"/>
  <c r="H38"/>
  <c r="G38"/>
  <c r="F38"/>
  <c r="E38"/>
  <c r="K37"/>
  <c r="J37"/>
  <c r="K36"/>
  <c r="J36"/>
  <c r="K35"/>
  <c r="J35"/>
  <c r="K34"/>
  <c r="J34"/>
  <c r="K33"/>
  <c r="J33"/>
  <c r="K32"/>
  <c r="J32"/>
  <c r="K31"/>
  <c r="K30"/>
  <c r="J30"/>
  <c r="K29"/>
  <c r="J29"/>
  <c r="L28"/>
  <c r="L40" s="1"/>
  <c r="K28"/>
  <c r="J28"/>
  <c r="K27"/>
  <c r="J27"/>
  <c r="K26"/>
  <c r="J26"/>
  <c r="K25"/>
  <c r="J25"/>
  <c r="K24"/>
  <c r="J24"/>
  <c r="M23"/>
  <c r="K23"/>
  <c r="J23"/>
  <c r="L22"/>
  <c r="K22"/>
  <c r="J22"/>
  <c r="K21"/>
  <c r="M19"/>
  <c r="I18"/>
  <c r="H18"/>
  <c r="G18"/>
  <c r="J17"/>
  <c r="J16"/>
  <c r="K17" s="1"/>
  <c r="M15"/>
  <c r="L15"/>
  <c r="J14"/>
  <c r="F13"/>
  <c r="F18" s="1"/>
  <c r="E13"/>
  <c r="E18" s="1"/>
  <c r="J73" i="34"/>
  <c r="H73"/>
  <c r="M70"/>
  <c r="J67"/>
  <c r="M65"/>
  <c r="M63"/>
  <c r="I61"/>
  <c r="I63" s="1"/>
  <c r="L60"/>
  <c r="J59"/>
  <c r="J61" s="1"/>
  <c r="M57"/>
  <c r="M59" s="1"/>
  <c r="F55"/>
  <c r="M50"/>
  <c r="M39"/>
  <c r="K39"/>
  <c r="I38"/>
  <c r="I40" s="1"/>
  <c r="I39" i="35" s="1"/>
  <c r="H38" i="34"/>
  <c r="H40" s="1"/>
  <c r="H39" i="35" s="1"/>
  <c r="G38" i="34"/>
  <c r="G40" s="1"/>
  <c r="G39" i="35" s="1"/>
  <c r="F38" i="34"/>
  <c r="F40" s="1"/>
  <c r="F39" i="35" s="1"/>
  <c r="E38" i="34"/>
  <c r="K37"/>
  <c r="J37"/>
  <c r="K36"/>
  <c r="J36"/>
  <c r="K35"/>
  <c r="J35"/>
  <c r="K34"/>
  <c r="J34"/>
  <c r="K33"/>
  <c r="J33"/>
  <c r="K32"/>
  <c r="J32"/>
  <c r="K31"/>
  <c r="K30"/>
  <c r="J30"/>
  <c r="K29"/>
  <c r="J29"/>
  <c r="L28"/>
  <c r="L40" s="1"/>
  <c r="K28"/>
  <c r="J28"/>
  <c r="K27"/>
  <c r="J27"/>
  <c r="K26"/>
  <c r="J26"/>
  <c r="K25"/>
  <c r="J25"/>
  <c r="K24"/>
  <c r="J24"/>
  <c r="M23"/>
  <c r="K23"/>
  <c r="J23"/>
  <c r="L22"/>
  <c r="K22"/>
  <c r="J22"/>
  <c r="K21"/>
  <c r="M19"/>
  <c r="E13" s="1"/>
  <c r="E18" s="1"/>
  <c r="I18"/>
  <c r="H18"/>
  <c r="G18"/>
  <c r="J17"/>
  <c r="J16"/>
  <c r="K17" s="1"/>
  <c r="M15"/>
  <c r="L15"/>
  <c r="J14"/>
  <c r="F13"/>
  <c r="F18" s="1"/>
  <c r="G40" i="35" l="1"/>
  <c r="G39" i="37" s="1"/>
  <c r="G40" s="1"/>
  <c r="G39" i="38" s="1"/>
  <c r="G40" s="1"/>
  <c r="G39" i="39" s="1"/>
  <c r="G40" s="1"/>
  <c r="I40" i="35"/>
  <c r="I39" i="37" s="1"/>
  <c r="I40" s="1"/>
  <c r="I39" i="38" s="1"/>
  <c r="I40" s="1"/>
  <c r="I39" i="39" s="1"/>
  <c r="I40" s="1"/>
  <c r="F40" i="35"/>
  <c r="F39" i="37" s="1"/>
  <c r="F40" s="1"/>
  <c r="F39" i="38" s="1"/>
  <c r="F40" s="1"/>
  <c r="F39" i="39" s="1"/>
  <c r="F40" s="1"/>
  <c r="F39" i="40" s="1"/>
  <c r="F40" s="1"/>
  <c r="F39" i="41" s="1"/>
  <c r="F40" s="1"/>
  <c r="H40" i="35"/>
  <c r="H39" i="37" s="1"/>
  <c r="H40" s="1"/>
  <c r="H39" i="38" s="1"/>
  <c r="H40" s="1"/>
  <c r="H39" i="39" s="1"/>
  <c r="H40" s="1"/>
  <c r="J38" i="35"/>
  <c r="K38"/>
  <c r="J38" i="34"/>
  <c r="J40" s="1"/>
  <c r="J39" i="35" s="1"/>
  <c r="K38" i="34"/>
  <c r="M41" i="35"/>
  <c r="M44" s="1"/>
  <c r="N44" s="1"/>
  <c r="F54"/>
  <c r="K18"/>
  <c r="J13"/>
  <c r="K18" i="34"/>
  <c r="F54"/>
  <c r="M41"/>
  <c r="M44" s="1"/>
  <c r="N44" s="1"/>
  <c r="E40"/>
  <c r="E39" i="35" s="1"/>
  <c r="J13" i="34"/>
  <c r="J17" i="33"/>
  <c r="G39" i="43" l="1"/>
  <c r="G39" i="42"/>
  <c r="G40" s="1"/>
  <c r="G39" i="40"/>
  <c r="G40" s="1"/>
  <c r="G39" i="41" s="1"/>
  <c r="G40" s="1"/>
  <c r="H39" i="43"/>
  <c r="H40" s="1"/>
  <c r="H40" i="44" s="1"/>
  <c r="H41" s="1"/>
  <c r="H40" i="45" s="1"/>
  <c r="H41" s="1"/>
  <c r="H39" i="42"/>
  <c r="H40" s="1"/>
  <c r="H39" i="40"/>
  <c r="H40" s="1"/>
  <c r="H39" i="41" s="1"/>
  <c r="H40" s="1"/>
  <c r="I39" i="43"/>
  <c r="I40" s="1"/>
  <c r="I40" i="44" s="1"/>
  <c r="I41" s="1"/>
  <c r="I40" i="45" s="1"/>
  <c r="I41" s="1"/>
  <c r="I39" i="42"/>
  <c r="I40" s="1"/>
  <c r="I39" i="40"/>
  <c r="I40" s="1"/>
  <c r="I39" i="41" s="1"/>
  <c r="I40" s="1"/>
  <c r="K39" i="35"/>
  <c r="M39"/>
  <c r="E40"/>
  <c r="E39" i="37" s="1"/>
  <c r="J40" i="35"/>
  <c r="J39" i="37" s="1"/>
  <c r="J40" s="1"/>
  <c r="J39" i="38" s="1"/>
  <c r="J40" s="1"/>
  <c r="J39" i="39" s="1"/>
  <c r="J40" s="1"/>
  <c r="J39" i="40" s="1"/>
  <c r="J40" s="1"/>
  <c r="J39" i="41" s="1"/>
  <c r="J40" s="1"/>
  <c r="K44" i="35"/>
  <c r="K40"/>
  <c r="J18"/>
  <c r="K13"/>
  <c r="L23" s="1"/>
  <c r="J18" i="34"/>
  <c r="K13"/>
  <c r="L23" s="1"/>
  <c r="K44"/>
  <c r="K40"/>
  <c r="J73" i="33"/>
  <c r="H73"/>
  <c r="M70"/>
  <c r="J67"/>
  <c r="M63"/>
  <c r="M65" s="1"/>
  <c r="I61"/>
  <c r="I63" s="1"/>
  <c r="L60"/>
  <c r="J59"/>
  <c r="J61" s="1"/>
  <c r="M57"/>
  <c r="M59" s="1"/>
  <c r="F55"/>
  <c r="M50"/>
  <c r="M39"/>
  <c r="I38"/>
  <c r="I40" s="1"/>
  <c r="H38"/>
  <c r="H40" s="1"/>
  <c r="G38"/>
  <c r="G40" s="1"/>
  <c r="E38"/>
  <c r="K37"/>
  <c r="J37"/>
  <c r="K36"/>
  <c r="J36"/>
  <c r="K35"/>
  <c r="J35"/>
  <c r="K34"/>
  <c r="J34"/>
  <c r="K33"/>
  <c r="J33"/>
  <c r="K32"/>
  <c r="J32"/>
  <c r="K31"/>
  <c r="K30"/>
  <c r="J30"/>
  <c r="K29"/>
  <c r="J29"/>
  <c r="L28"/>
  <c r="L40" s="1"/>
  <c r="K28"/>
  <c r="J28"/>
  <c r="K27"/>
  <c r="J27"/>
  <c r="J26"/>
  <c r="J25"/>
  <c r="K25"/>
  <c r="K24"/>
  <c r="J24"/>
  <c r="J23"/>
  <c r="K22"/>
  <c r="J22"/>
  <c r="J38" s="1"/>
  <c r="J40" s="1"/>
  <c r="K21"/>
  <c r="K19"/>
  <c r="M19"/>
  <c r="I18"/>
  <c r="I20" s="1"/>
  <c r="I41" s="1"/>
  <c r="I19" i="34" s="1"/>
  <c r="I20" s="1"/>
  <c r="I41" s="1"/>
  <c r="I19" i="35" s="1"/>
  <c r="I20" s="1"/>
  <c r="I41" s="1"/>
  <c r="I19" i="37" s="1"/>
  <c r="I20" s="1"/>
  <c r="I41" s="1"/>
  <c r="I19" i="38" s="1"/>
  <c r="I20" s="1"/>
  <c r="I41" s="1"/>
  <c r="I19" i="39" s="1"/>
  <c r="I20" s="1"/>
  <c r="I41" s="1"/>
  <c r="H18" i="33"/>
  <c r="H20" s="1"/>
  <c r="H41" s="1"/>
  <c r="H19" i="34" s="1"/>
  <c r="H20" s="1"/>
  <c r="H41" s="1"/>
  <c r="H19" i="35" s="1"/>
  <c r="H20" s="1"/>
  <c r="H41" s="1"/>
  <c r="H19" i="37" s="1"/>
  <c r="H20" s="1"/>
  <c r="H41" s="1"/>
  <c r="H19" i="38" s="1"/>
  <c r="H20" s="1"/>
  <c r="H41" s="1"/>
  <c r="H19" i="39" s="1"/>
  <c r="H20" s="1"/>
  <c r="H41" s="1"/>
  <c r="G18" i="33"/>
  <c r="G20" s="1"/>
  <c r="G41" s="1"/>
  <c r="G19" i="34" s="1"/>
  <c r="G20" s="1"/>
  <c r="G41" s="1"/>
  <c r="G19" i="35" s="1"/>
  <c r="G20" s="1"/>
  <c r="G41" s="1"/>
  <c r="G19" i="37" s="1"/>
  <c r="G20" s="1"/>
  <c r="G41" s="1"/>
  <c r="G19" i="38" s="1"/>
  <c r="G20" s="1"/>
  <c r="G41" s="1"/>
  <c r="G19" i="39" s="1"/>
  <c r="G20" s="1"/>
  <c r="G41" s="1"/>
  <c r="J16" i="33"/>
  <c r="M15"/>
  <c r="L15"/>
  <c r="J14"/>
  <c r="I19" i="43" l="1"/>
  <c r="I20" s="1"/>
  <c r="I41" s="1"/>
  <c r="I19" i="44" s="1"/>
  <c r="I20" s="1"/>
  <c r="I42" s="1"/>
  <c r="I19" i="45" s="1"/>
  <c r="I20" s="1"/>
  <c r="I42" s="1"/>
  <c r="I19" i="42"/>
  <c r="I20" s="1"/>
  <c r="I41" s="1"/>
  <c r="I19" i="40"/>
  <c r="I20" s="1"/>
  <c r="I41" s="1"/>
  <c r="I19" i="41" s="1"/>
  <c r="I20" s="1"/>
  <c r="I41" s="1"/>
  <c r="I43" i="51"/>
  <c r="I44" s="1"/>
  <c r="I42" i="56" s="1"/>
  <c r="I43" s="1"/>
  <c r="I43" i="58" s="1"/>
  <c r="I44" s="1"/>
  <c r="I43" i="59" s="1"/>
  <c r="I44" s="1"/>
  <c r="I43" i="60" s="1"/>
  <c r="I44" s="1"/>
  <c r="I43" i="61" s="1"/>
  <c r="I44" s="1"/>
  <c r="I43" i="62" s="1"/>
  <c r="I44" s="1"/>
  <c r="I43" i="63" s="1"/>
  <c r="I44" s="1"/>
  <c r="I42" i="46"/>
  <c r="I43" s="1"/>
  <c r="M39" i="43"/>
  <c r="G40"/>
  <c r="K39"/>
  <c r="G19"/>
  <c r="G19" i="42"/>
  <c r="G19" i="40"/>
  <c r="G20" s="1"/>
  <c r="G41" s="1"/>
  <c r="G19" i="41" s="1"/>
  <c r="G20" s="1"/>
  <c r="G41" s="1"/>
  <c r="H19" i="42"/>
  <c r="H20" s="1"/>
  <c r="H41" s="1"/>
  <c r="H19" i="43"/>
  <c r="H20" s="1"/>
  <c r="H41" s="1"/>
  <c r="H19" i="44" s="1"/>
  <c r="H20" s="1"/>
  <c r="H42" s="1"/>
  <c r="H19" i="45" s="1"/>
  <c r="H20" s="1"/>
  <c r="H42" s="1"/>
  <c r="H19" i="46" s="1"/>
  <c r="H20" s="1"/>
  <c r="H44" s="1"/>
  <c r="H19" i="40"/>
  <c r="H20" s="1"/>
  <c r="H41" s="1"/>
  <c r="H19" i="41" s="1"/>
  <c r="H20" s="1"/>
  <c r="H41" s="1"/>
  <c r="H43" i="51"/>
  <c r="H42" i="46"/>
  <c r="H43" s="1"/>
  <c r="K17" i="33"/>
  <c r="L75"/>
  <c r="L76" s="1"/>
  <c r="L17"/>
  <c r="K39" i="37"/>
  <c r="M39"/>
  <c r="E40"/>
  <c r="E13" i="33"/>
  <c r="F13"/>
  <c r="F18" s="1"/>
  <c r="M41"/>
  <c r="M44" s="1"/>
  <c r="N44" s="1"/>
  <c r="K23"/>
  <c r="K26"/>
  <c r="F38"/>
  <c r="F40" s="1"/>
  <c r="K39"/>
  <c r="E40"/>
  <c r="G87" i="5"/>
  <c r="M43" i="51" l="1"/>
  <c r="H44"/>
  <c r="K43"/>
  <c r="K19" i="43"/>
  <c r="G20"/>
  <c r="G40" i="44"/>
  <c r="K40" i="43"/>
  <c r="I19" i="51"/>
  <c r="I20" s="1"/>
  <c r="I45" s="1"/>
  <c r="I19" i="56" s="1"/>
  <c r="I20" s="1"/>
  <c r="I44" s="1"/>
  <c r="I19" i="58" s="1"/>
  <c r="I20" s="1"/>
  <c r="I45" s="1"/>
  <c r="I19" i="59" s="1"/>
  <c r="I20" s="1"/>
  <c r="I45" s="1"/>
  <c r="I19" i="60" s="1"/>
  <c r="I20" s="1"/>
  <c r="I45" s="1"/>
  <c r="I19" i="61" s="1"/>
  <c r="I20" s="1"/>
  <c r="I45" s="1"/>
  <c r="I19" i="62" s="1"/>
  <c r="I20" s="1"/>
  <c r="I45" s="1"/>
  <c r="I19" i="63" s="1"/>
  <c r="I20" s="1"/>
  <c r="I45" s="1"/>
  <c r="I19" i="46"/>
  <c r="I20" s="1"/>
  <c r="I44" s="1"/>
  <c r="K19" i="42"/>
  <c r="J19"/>
  <c r="J20" s="1"/>
  <c r="J41" s="1"/>
  <c r="G20"/>
  <c r="I43" i="66"/>
  <c r="I44" s="1"/>
  <c r="I43" i="64"/>
  <c r="I44" s="1"/>
  <c r="I43" i="67" s="1"/>
  <c r="I44" s="1"/>
  <c r="I44" i="68" s="1"/>
  <c r="I45" s="1"/>
  <c r="E39" i="38"/>
  <c r="K40" i="37"/>
  <c r="K44"/>
  <c r="K38" i="33"/>
  <c r="F54"/>
  <c r="F20"/>
  <c r="F41" s="1"/>
  <c r="F19" i="34" s="1"/>
  <c r="F20" s="1"/>
  <c r="F41" s="1"/>
  <c r="F19" i="35" s="1"/>
  <c r="F20" s="1"/>
  <c r="F41" s="1"/>
  <c r="F19" i="37" s="1"/>
  <c r="F20" s="1"/>
  <c r="F41" s="1"/>
  <c r="F19" i="38" s="1"/>
  <c r="F20" s="1"/>
  <c r="F41" s="1"/>
  <c r="F19" i="39" s="1"/>
  <c r="F20" s="1"/>
  <c r="F41" s="1"/>
  <c r="F19" i="40" s="1"/>
  <c r="F20" s="1"/>
  <c r="F41" s="1"/>
  <c r="F19" i="41" s="1"/>
  <c r="F20" s="1"/>
  <c r="F41" s="1"/>
  <c r="K44" i="33"/>
  <c r="K40"/>
  <c r="J13"/>
  <c r="E18"/>
  <c r="I86" i="5"/>
  <c r="G80"/>
  <c r="I82"/>
  <c r="I80"/>
  <c r="I78"/>
  <c r="I76"/>
  <c r="H75"/>
  <c r="G76"/>
  <c r="G78" s="1"/>
  <c r="H92"/>
  <c r="H90"/>
  <c r="H86"/>
  <c r="H84"/>
  <c r="I44" i="71" l="1"/>
  <c r="I45" s="1"/>
  <c r="I44" i="70"/>
  <c r="I45" s="1"/>
  <c r="I44" i="69"/>
  <c r="I45" s="1"/>
  <c r="G41" i="42"/>
  <c r="K41" s="1"/>
  <c r="K20"/>
  <c r="G41" i="43"/>
  <c r="K20"/>
  <c r="I19" i="66"/>
  <c r="I20" s="1"/>
  <c r="I45" s="1"/>
  <c r="I19" i="64"/>
  <c r="I20" s="1"/>
  <c r="I45" s="1"/>
  <c r="I19" i="67" s="1"/>
  <c r="I20" s="1"/>
  <c r="I45" s="1"/>
  <c r="I19" i="68" s="1"/>
  <c r="I20" s="1"/>
  <c r="I46" s="1"/>
  <c r="G41" i="44"/>
  <c r="K40"/>
  <c r="M40"/>
  <c r="H42" i="56"/>
  <c r="K44" i="51"/>
  <c r="M39" i="38"/>
  <c r="E40"/>
  <c r="K39"/>
  <c r="E20" i="33"/>
  <c r="K18"/>
  <c r="J18"/>
  <c r="J20" s="1"/>
  <c r="J41" s="1"/>
  <c r="J19" i="34" s="1"/>
  <c r="J20" s="1"/>
  <c r="J41" s="1"/>
  <c r="J19" i="35" s="1"/>
  <c r="J20" s="1"/>
  <c r="J41" s="1"/>
  <c r="J19" i="37" s="1"/>
  <c r="J20" s="1"/>
  <c r="J41" s="1"/>
  <c r="J19" i="38" s="1"/>
  <c r="J20" s="1"/>
  <c r="J41" s="1"/>
  <c r="J19" i="39" s="1"/>
  <c r="J20" s="1"/>
  <c r="J41" s="1"/>
  <c r="J19" i="40" s="1"/>
  <c r="J20" s="1"/>
  <c r="J41" s="1"/>
  <c r="J19" i="41" s="1"/>
  <c r="J20" s="1"/>
  <c r="J41" s="1"/>
  <c r="K13" i="33"/>
  <c r="H76" i="5"/>
  <c r="J64"/>
  <c r="J69"/>
  <c r="J68"/>
  <c r="J67"/>
  <c r="J66"/>
  <c r="I60"/>
  <c r="I62" s="1"/>
  <c r="I64" s="1"/>
  <c r="G63"/>
  <c r="M42" i="56" l="1"/>
  <c r="H43"/>
  <c r="K42"/>
  <c r="I19" i="71"/>
  <c r="I20" s="1"/>
  <c r="I46" s="1"/>
  <c r="I19" i="70"/>
  <c r="I20" s="1"/>
  <c r="I46" s="1"/>
  <c r="I19" i="69"/>
  <c r="I20" s="1"/>
  <c r="I46" s="1"/>
  <c r="G40" i="45"/>
  <c r="K41" i="44"/>
  <c r="G19"/>
  <c r="K41" i="43"/>
  <c r="E39" i="39"/>
  <c r="K40" i="38"/>
  <c r="K44"/>
  <c r="L23" i="33"/>
  <c r="K20"/>
  <c r="E41"/>
  <c r="E19" i="34" s="1"/>
  <c r="H60" i="5"/>
  <c r="H62" s="1"/>
  <c r="H64" s="1"/>
  <c r="H66" s="1"/>
  <c r="H43" i="58" l="1"/>
  <c r="K43" i="56"/>
  <c r="G20" i="44"/>
  <c r="K19"/>
  <c r="G41" i="45"/>
  <c r="K40"/>
  <c r="M40"/>
  <c r="M39" i="39"/>
  <c r="E40"/>
  <c r="K39"/>
  <c r="K19" i="34"/>
  <c r="E20"/>
  <c r="K42" i="33"/>
  <c r="K43" s="1"/>
  <c r="K41"/>
  <c r="L41" s="1"/>
  <c r="I12" i="5"/>
  <c r="E39" i="42" l="1"/>
  <c r="E39" i="40"/>
  <c r="G42" i="46"/>
  <c r="K41" i="45"/>
  <c r="G42" i="44"/>
  <c r="K20"/>
  <c r="H44" i="58"/>
  <c r="K43"/>
  <c r="M43"/>
  <c r="K40" i="39"/>
  <c r="K44"/>
  <c r="E41" i="34"/>
  <c r="K20"/>
  <c r="F17" i="5"/>
  <c r="I17" s="1"/>
  <c r="I47" s="1"/>
  <c r="L71"/>
  <c r="H43" i="59" l="1"/>
  <c r="K44" i="58"/>
  <c r="G19" i="45"/>
  <c r="G20" s="1"/>
  <c r="G42" s="1"/>
  <c r="K42" i="44"/>
  <c r="G43" i="46"/>
  <c r="K43" s="1"/>
  <c r="M42"/>
  <c r="K42"/>
  <c r="M39" i="42"/>
  <c r="K39"/>
  <c r="E40"/>
  <c r="E19" i="35"/>
  <c r="K42" i="34"/>
  <c r="K41"/>
  <c r="L58" i="5"/>
  <c r="L60" s="1"/>
  <c r="N57"/>
  <c r="K40" i="42" l="1"/>
  <c r="K44"/>
  <c r="G19" i="51"/>
  <c r="G19" i="46"/>
  <c r="G20" s="1"/>
  <c r="G44" s="1"/>
  <c r="H44" i="59"/>
  <c r="M43"/>
  <c r="K43"/>
  <c r="K19" i="35"/>
  <c r="E20"/>
  <c r="I19" i="5"/>
  <c r="I26" s="1"/>
  <c r="F26"/>
  <c r="F38" s="1"/>
  <c r="N27"/>
  <c r="N28"/>
  <c r="N29"/>
  <c r="N30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O12"/>
  <c r="O13"/>
  <c r="O14"/>
  <c r="O15"/>
  <c r="O16"/>
  <c r="O17"/>
  <c r="O18"/>
  <c r="O19"/>
  <c r="O20"/>
  <c r="O21"/>
  <c r="O22"/>
  <c r="O11"/>
  <c r="N23"/>
  <c r="O23" s="1"/>
  <c r="M23"/>
  <c r="H43" i="60" l="1"/>
  <c r="K44" i="59"/>
  <c r="K19" i="51"/>
  <c r="G20"/>
  <c r="E41" i="35"/>
  <c r="E19" i="37" s="1"/>
  <c r="K20" i="35"/>
  <c r="O24" i="5"/>
  <c r="G45" i="51" l="1"/>
  <c r="K20"/>
  <c r="H44" i="60"/>
  <c r="M43"/>
  <c r="K43"/>
  <c r="K19" i="37"/>
  <c r="E20"/>
  <c r="K42" i="35"/>
  <c r="K41"/>
  <c r="H43" i="61" l="1"/>
  <c r="K44" i="60"/>
  <c r="G19" i="56"/>
  <c r="K45" i="51"/>
  <c r="E41" i="37"/>
  <c r="K20"/>
  <c r="K19" i="56" l="1"/>
  <c r="G20"/>
  <c r="K43" i="61"/>
  <c r="H44"/>
  <c r="M43"/>
  <c r="E19" i="38"/>
  <c r="K42" i="37"/>
  <c r="K41"/>
  <c r="K44" i="61" l="1"/>
  <c r="H43" i="62"/>
  <c r="G44" i="56"/>
  <c r="K20"/>
  <c r="E20" i="38"/>
  <c r="K19"/>
  <c r="H44" i="62" l="1"/>
  <c r="K43"/>
  <c r="M43"/>
  <c r="G19" i="58"/>
  <c r="K44" i="56"/>
  <c r="E41" i="38"/>
  <c r="E19" i="39" s="1"/>
  <c r="K20" i="38"/>
  <c r="G20" i="58" l="1"/>
  <c r="K19"/>
  <c r="H43" i="63"/>
  <c r="K44" i="62"/>
  <c r="K19" i="39"/>
  <c r="E20"/>
  <c r="K41" i="38"/>
  <c r="K42"/>
  <c r="H44" i="63" l="1"/>
  <c r="K43"/>
  <c r="M43"/>
  <c r="G45" i="58"/>
  <c r="K20"/>
  <c r="E41" i="39"/>
  <c r="E19" i="40" s="1"/>
  <c r="K20" i="39"/>
  <c r="G19" i="59" l="1"/>
  <c r="K45" i="58"/>
  <c r="H43" i="66"/>
  <c r="H43" i="64"/>
  <c r="K44" i="63"/>
  <c r="K19" i="40"/>
  <c r="E20"/>
  <c r="K41" i="39"/>
  <c r="K42"/>
  <c r="H44" i="64" l="1"/>
  <c r="M43"/>
  <c r="K43"/>
  <c r="H44" i="66"/>
  <c r="K44" s="1"/>
  <c r="M43"/>
  <c r="K43"/>
  <c r="G20" i="59"/>
  <c r="K19"/>
  <c r="K20" i="40"/>
  <c r="E41"/>
  <c r="I41" i="32"/>
  <c r="I38"/>
  <c r="I40" s="1"/>
  <c r="H38"/>
  <c r="J26"/>
  <c r="J19"/>
  <c r="J24"/>
  <c r="J23"/>
  <c r="J17"/>
  <c r="J21"/>
  <c r="J15"/>
  <c r="G45" i="59" l="1"/>
  <c r="K20"/>
  <c r="H43" i="67"/>
  <c r="K44" i="64"/>
  <c r="E19" i="41"/>
  <c r="K42" i="40"/>
  <c r="K41"/>
  <c r="H44" i="67" l="1"/>
  <c r="K43"/>
  <c r="M43"/>
  <c r="G19" i="60"/>
  <c r="K45" i="59"/>
  <c r="K19" i="41"/>
  <c r="E20"/>
  <c r="G20" i="60" l="1"/>
  <c r="K19"/>
  <c r="H44" i="68"/>
  <c r="K44" i="67"/>
  <c r="E41" i="41"/>
  <c r="K20"/>
  <c r="H45" i="68" l="1"/>
  <c r="K44"/>
  <c r="M44"/>
  <c r="G45" i="60"/>
  <c r="K20"/>
  <c r="K42" i="41"/>
  <c r="K41"/>
  <c r="G19" i="61" l="1"/>
  <c r="K45" i="60"/>
  <c r="H44" i="71"/>
  <c r="H44" i="70"/>
  <c r="H44" i="69"/>
  <c r="K45" i="68"/>
  <c r="H45" i="70" l="1"/>
  <c r="K45" s="1"/>
  <c r="M44"/>
  <c r="K44"/>
  <c r="H45" i="69"/>
  <c r="K45" s="1"/>
  <c r="M44"/>
  <c r="K44"/>
  <c r="H45" i="71"/>
  <c r="K45" s="1"/>
  <c r="M44"/>
  <c r="K44"/>
  <c r="G20" i="61"/>
  <c r="K19"/>
  <c r="G45" l="1"/>
  <c r="K20"/>
  <c r="G19" i="62" l="1"/>
  <c r="K45" i="61"/>
  <c r="G20" i="62" l="1"/>
  <c r="K19"/>
  <c r="G45" l="1"/>
  <c r="K20"/>
  <c r="G19" i="63" l="1"/>
  <c r="K45" i="62"/>
  <c r="I38" i="5"/>
  <c r="I53" s="1"/>
  <c r="H26"/>
  <c r="G26"/>
  <c r="G20" i="63" l="1"/>
  <c r="K19"/>
  <c r="H38" i="5"/>
  <c r="M26"/>
  <c r="G38"/>
  <c r="M29"/>
  <c r="G45" i="63" l="1"/>
  <c r="K20"/>
  <c r="G19" i="66" l="1"/>
  <c r="G19" i="64"/>
  <c r="K45" i="63"/>
  <c r="G20" i="66" l="1"/>
  <c r="K19"/>
  <c r="G20" i="64"/>
  <c r="K19"/>
  <c r="G45" l="1"/>
  <c r="K20"/>
  <c r="G45" i="66"/>
  <c r="K45" s="1"/>
  <c r="K20"/>
  <c r="G19" i="67" l="1"/>
  <c r="K45" i="64"/>
  <c r="G20" i="67" l="1"/>
  <c r="K19"/>
  <c r="G45" l="1"/>
  <c r="K20"/>
  <c r="G19" i="68" l="1"/>
  <c r="K45" i="67"/>
  <c r="G20" i="68" l="1"/>
  <c r="K19"/>
  <c r="G46" l="1"/>
  <c r="K20"/>
  <c r="G19" i="71" l="1"/>
  <c r="G19" i="70"/>
  <c r="G19" i="69"/>
  <c r="K46" i="68"/>
  <c r="M39" i="40"/>
  <c r="K39"/>
  <c r="E40"/>
  <c r="G20" i="70" l="1"/>
  <c r="K19"/>
  <c r="K44" i="40"/>
  <c r="E39" i="41"/>
  <c r="G20" i="69"/>
  <c r="K19"/>
  <c r="G20" i="71"/>
  <c r="K19"/>
  <c r="K40" i="40"/>
  <c r="K19" i="45"/>
  <c r="E20"/>
  <c r="K20" s="1"/>
  <c r="M39" i="41" l="1"/>
  <c r="K39"/>
  <c r="E40"/>
  <c r="G46" i="71"/>
  <c r="K46" s="1"/>
  <c r="K20"/>
  <c r="G46" i="69"/>
  <c r="K46" s="1"/>
  <c r="K20"/>
  <c r="G46" i="70"/>
  <c r="K46" s="1"/>
  <c r="K20"/>
  <c r="E42" i="45"/>
  <c r="K43" l="1"/>
  <c r="E19" i="46"/>
  <c r="K44" i="41"/>
  <c r="K40"/>
  <c r="K42" i="45"/>
  <c r="E20" i="46" l="1"/>
  <c r="K19"/>
  <c r="E44" l="1"/>
  <c r="K20"/>
  <c r="K45" l="1"/>
  <c r="K44"/>
</calcChain>
</file>

<file path=xl/sharedStrings.xml><?xml version="1.0" encoding="utf-8"?>
<sst xmlns="http://schemas.openxmlformats.org/spreadsheetml/2006/main" count="3864" uniqueCount="342">
  <si>
    <t>A. Sources of Funds</t>
  </si>
  <si>
    <t>Current Appropriation</t>
  </si>
  <si>
    <t>Continuing Appropriation</t>
  </si>
  <si>
    <t>Previous Year's Appropriation</t>
  </si>
  <si>
    <t>Donations</t>
  </si>
  <si>
    <t>Cash</t>
  </si>
  <si>
    <t>In Kind*</t>
  </si>
  <si>
    <t>Total Funds Available</t>
  </si>
  <si>
    <t>LDRRMF</t>
  </si>
  <si>
    <t>Quick</t>
  </si>
  <si>
    <t>Response</t>
  </si>
  <si>
    <t>Fund (QRF)</t>
  </si>
  <si>
    <t>Mitigation</t>
  </si>
  <si>
    <t>Fund</t>
  </si>
  <si>
    <t>NDRRMF</t>
  </si>
  <si>
    <t>B. Utilization</t>
  </si>
  <si>
    <t>Medicines</t>
  </si>
  <si>
    <t>Construction of Evacuation Center</t>
  </si>
  <si>
    <t>Equipment</t>
  </si>
  <si>
    <t>Transfers to other LGUs</t>
  </si>
  <si>
    <t>From</t>
  </si>
  <si>
    <t xml:space="preserve"> Other LGUs</t>
  </si>
  <si>
    <t>From Other</t>
  </si>
  <si>
    <t>Sources</t>
  </si>
  <si>
    <t>Total</t>
  </si>
  <si>
    <t>MOA/Project</t>
  </si>
  <si>
    <t>Agreement/</t>
  </si>
  <si>
    <t>Ref No.(If Any)</t>
  </si>
  <si>
    <t>Remarks</t>
  </si>
  <si>
    <t>Certified Correct:</t>
  </si>
  <si>
    <t>Accountant</t>
  </si>
  <si>
    <t>(Name and Signature)</t>
  </si>
  <si>
    <t>Verified By:</t>
  </si>
  <si>
    <t>Audit Team Leader</t>
  </si>
  <si>
    <t>Note:</t>
  </si>
  <si>
    <t>*Provide schedule showing the description, quantity and value of items received. Indicate if value stated is actual or estimated.</t>
  </si>
  <si>
    <t>**Indicate the specific purpose, I e. Typhoon Pablo, Early Warning Device / System, Rehabilitation and recovery projects(s).</t>
  </si>
  <si>
    <t>Report on the Receipt and Utilization of Disaster Risk Reduction and Management (DRRM) Calamity Funds</t>
  </si>
  <si>
    <t>Source</t>
  </si>
  <si>
    <t>Agency/Donor/</t>
  </si>
  <si>
    <t>Funding Entity</t>
  </si>
  <si>
    <t>Balance</t>
  </si>
  <si>
    <t>Receipts during</t>
  </si>
  <si>
    <t>the year</t>
  </si>
  <si>
    <t>Type of Funds</t>
  </si>
  <si>
    <t xml:space="preserve">Utilization during </t>
  </si>
  <si>
    <t xml:space="preserve">the year </t>
  </si>
  <si>
    <t>(Annex A-1)</t>
  </si>
  <si>
    <t xml:space="preserve">Type of </t>
  </si>
  <si>
    <t>Funds</t>
  </si>
  <si>
    <t>Locally Funded:</t>
  </si>
  <si>
    <t>Calamity Fund</t>
  </si>
  <si>
    <t xml:space="preserve"> - Preparedness</t>
  </si>
  <si>
    <t xml:space="preserve"> - Prevention / Mitigation</t>
  </si>
  <si>
    <t xml:space="preserve"> - Rehabilitation &amp; Recovery</t>
  </si>
  <si>
    <t xml:space="preserve"> - Calamity Fund used to</t>
  </si>
  <si>
    <t>augment QRF</t>
  </si>
  <si>
    <t>Loans</t>
  </si>
  <si>
    <t>Grants / Aids</t>
  </si>
  <si>
    <t>Inter-Agency Fund Transfers</t>
  </si>
  <si>
    <t>PDAF / Congressional Initiatives</t>
  </si>
  <si>
    <t>Sub Total</t>
  </si>
  <si>
    <t>Foreign funded ( In Peso ):</t>
  </si>
  <si>
    <t>Grants/ Aids</t>
  </si>
  <si>
    <t xml:space="preserve">Cash </t>
  </si>
  <si>
    <t>In Kind</t>
  </si>
  <si>
    <t>Others ( Please Specify)</t>
  </si>
  <si>
    <t>Grand Total</t>
  </si>
  <si>
    <t>Particulars</t>
  </si>
  <si>
    <t>Quick Response Fund ( QRF )</t>
  </si>
  <si>
    <t>Food Supplies/Other Supplies</t>
  </si>
  <si>
    <t>Other MOOE</t>
  </si>
  <si>
    <t>VIOLETA C. DEL MUNDO</t>
  </si>
  <si>
    <t>REDENTOR C. RAMIREZ</t>
  </si>
  <si>
    <t xml:space="preserve">                         </t>
  </si>
  <si>
    <t>Repair of Evacuation Center</t>
  </si>
  <si>
    <t>Municipality of Taytay</t>
  </si>
  <si>
    <t>Province of Rizal</t>
  </si>
  <si>
    <t xml:space="preserve">   Transferred to the Special Trust Fund</t>
  </si>
  <si>
    <t xml:space="preserve">  Transfers / Grants</t>
  </si>
  <si>
    <t>Report on Utilization of Disaster Risk Reduction and Management Fund (DRRMF)</t>
  </si>
  <si>
    <t>Annex B</t>
  </si>
  <si>
    <t>Municipal Government of Taytay</t>
  </si>
  <si>
    <t>Prepared by:</t>
  </si>
  <si>
    <t>ROGER M. MALABANAN</t>
  </si>
  <si>
    <t>Municipal Accountant</t>
  </si>
  <si>
    <t>Admin. Aide IV</t>
  </si>
  <si>
    <t>MOOE</t>
  </si>
  <si>
    <t>CO</t>
  </si>
  <si>
    <t>expenses</t>
  </si>
  <si>
    <t>appropriation</t>
  </si>
  <si>
    <t>Trainings</t>
  </si>
  <si>
    <t>Total Utilization This Month</t>
  </si>
  <si>
    <t>Unutilized Balance To Date</t>
  </si>
  <si>
    <t>Repair &amp; Maint.-Other Structures</t>
  </si>
  <si>
    <t>Repair &amp; Maint.-Roads, H-ways &amp; Bridges</t>
  </si>
  <si>
    <t>Repair &amp; Maint.-Other Public Infrastructures</t>
  </si>
  <si>
    <t>In-kind</t>
  </si>
  <si>
    <t xml:space="preserve">Donation </t>
  </si>
  <si>
    <t>Add:</t>
  </si>
  <si>
    <t>Unutilized Balance Last Month</t>
  </si>
  <si>
    <t>Total Funds Available This Month</t>
  </si>
  <si>
    <t>Motor Vehicles</t>
  </si>
  <si>
    <t>Total Utilization Last Month</t>
  </si>
  <si>
    <t>Total Utilization To Date</t>
  </si>
  <si>
    <t>Local Disaster Risk Reduction and Management Fund Investment Plan (LDRRMFIP)</t>
  </si>
  <si>
    <r>
      <t xml:space="preserve">January to December </t>
    </r>
    <r>
      <rPr>
        <b/>
        <u/>
        <sz val="9"/>
        <color theme="1"/>
        <rFont val="Times New Roman"/>
        <family val="1"/>
      </rPr>
      <t>2013</t>
    </r>
  </si>
  <si>
    <t>Functional</t>
  </si>
  <si>
    <t>Classification</t>
  </si>
  <si>
    <t>(1)</t>
  </si>
  <si>
    <t>Program/Project/Activity</t>
  </si>
  <si>
    <t>Code and Description</t>
  </si>
  <si>
    <t>9-Other</t>
  </si>
  <si>
    <t>Purposes</t>
  </si>
  <si>
    <t>94 - Disaster Risk Reduction and</t>
  </si>
  <si>
    <t>Management Program</t>
  </si>
  <si>
    <t>1.  Relief and Recovery*</t>
  </si>
  <si>
    <t>LDRRMO</t>
  </si>
  <si>
    <t xml:space="preserve">Implementing </t>
  </si>
  <si>
    <t>Office</t>
  </si>
  <si>
    <t>Schedule of Implementation</t>
  </si>
  <si>
    <t>Start Date</t>
  </si>
  <si>
    <t>Completion</t>
  </si>
  <si>
    <t>Date</t>
  </si>
  <si>
    <t xml:space="preserve">Expected </t>
  </si>
  <si>
    <t>Output</t>
  </si>
  <si>
    <t>Funding</t>
  </si>
  <si>
    <t>Amount of Approp./Allotment</t>
  </si>
  <si>
    <t>(2)</t>
  </si>
  <si>
    <t>(3)</t>
  </si>
  <si>
    <t>(4)</t>
  </si>
  <si>
    <t>(5)</t>
  </si>
  <si>
    <t>(6)</t>
  </si>
  <si>
    <t>(7)</t>
  </si>
  <si>
    <t>(8)</t>
  </si>
  <si>
    <t>(9)</t>
  </si>
  <si>
    <t>2.  Preparedness and Mitigation</t>
  </si>
  <si>
    <t xml:space="preserve">        Projects - MOOE</t>
  </si>
  <si>
    <t>1-General Public</t>
  </si>
  <si>
    <t>4-Health</t>
  </si>
  <si>
    <t>3.  Preparedness and Mitigation</t>
  </si>
  <si>
    <t xml:space="preserve">        Projects - CO</t>
  </si>
  <si>
    <t xml:space="preserve">    Rehabilitation of School Buildings</t>
  </si>
  <si>
    <t>6-Housing and</t>
  </si>
  <si>
    <t xml:space="preserve">     Community Dev't</t>
  </si>
  <si>
    <t>4.  Others</t>
  </si>
  <si>
    <t xml:space="preserve">        Center</t>
  </si>
  <si>
    <t>3-Educatin</t>
  </si>
  <si>
    <t>*Functional Classification will be based on projects and activities implemented.</t>
  </si>
  <si>
    <t>NOLASCO N. MENDOZA</t>
  </si>
  <si>
    <t>OIC-LDRRMO</t>
  </si>
  <si>
    <t>Approved by:</t>
  </si>
  <si>
    <t>Hon. JANET DE LEON-MERCADO</t>
  </si>
  <si>
    <t>Local Chief Executive</t>
  </si>
  <si>
    <t xml:space="preserve">    Training</t>
  </si>
  <si>
    <t xml:space="preserve">    a. Construction of Evacuation Center</t>
  </si>
  <si>
    <t xml:space="preserve">    b. Premium on insurance of Evacuation</t>
  </si>
  <si>
    <t xml:space="preserve">    a. Medical Supplies</t>
  </si>
  <si>
    <t xml:space="preserve">    b. Medicines</t>
  </si>
  <si>
    <t>Province/City/Municipality/Barangay:  Taytay, Rizal</t>
  </si>
  <si>
    <t>Services</t>
  </si>
  <si>
    <t xml:space="preserve">    Equipments</t>
  </si>
  <si>
    <t>C.O.</t>
  </si>
  <si>
    <t>quick</t>
  </si>
  <si>
    <t>preparedness</t>
  </si>
  <si>
    <t>Dec. 31, 2013</t>
  </si>
  <si>
    <r>
      <t xml:space="preserve">For CY   </t>
    </r>
    <r>
      <rPr>
        <b/>
        <u/>
        <sz val="9"/>
        <color theme="1"/>
        <rFont val="Times New Roman"/>
        <family val="1"/>
      </rPr>
      <t>2013</t>
    </r>
  </si>
  <si>
    <t>Jan. 1, 2013</t>
  </si>
  <si>
    <t>Transfers to other Funds</t>
  </si>
  <si>
    <t>Others ( Transfer to Special Trust Fund)</t>
  </si>
  <si>
    <r>
      <t>For the Month of January</t>
    </r>
    <r>
      <rPr>
        <b/>
        <u/>
        <sz val="10"/>
        <color theme="1"/>
        <rFont val="Times New Roman"/>
        <family val="1"/>
      </rPr>
      <t>, 2014</t>
    </r>
  </si>
  <si>
    <t>income</t>
  </si>
  <si>
    <r>
      <t xml:space="preserve">For the Month of February, </t>
    </r>
    <r>
      <rPr>
        <b/>
        <u/>
        <sz val="10"/>
        <color theme="1"/>
        <rFont val="Times New Roman"/>
        <family val="1"/>
      </rPr>
      <t>2014</t>
    </r>
  </si>
  <si>
    <r>
      <t xml:space="preserve">For the Month of March, </t>
    </r>
    <r>
      <rPr>
        <b/>
        <u/>
        <sz val="10"/>
        <color theme="1"/>
        <rFont val="Times New Roman"/>
        <family val="1"/>
      </rPr>
      <t>2014</t>
    </r>
  </si>
  <si>
    <r>
      <t xml:space="preserve">Local Government Sector - Region </t>
    </r>
    <r>
      <rPr>
        <b/>
        <u/>
        <sz val="10"/>
        <color theme="1"/>
        <rFont val="Times New Roman"/>
        <family val="1"/>
      </rPr>
      <t>IV-A</t>
    </r>
  </si>
  <si>
    <t>Summary of Appropriations and Expenditures</t>
  </si>
  <si>
    <t xml:space="preserve">Local Disaster Risk Reduction and Management Funds (LDRRMF) </t>
  </si>
  <si>
    <t>For CY 2013</t>
  </si>
  <si>
    <t>Appropriation</t>
  </si>
  <si>
    <t>Current Year</t>
  </si>
  <si>
    <t>Expenditures</t>
  </si>
  <si>
    <t>Trust Fund</t>
  </si>
  <si>
    <t>Beginning</t>
  </si>
  <si>
    <t xml:space="preserve">Additions </t>
  </si>
  <si>
    <t>Charges</t>
  </si>
  <si>
    <t>LGU</t>
  </si>
  <si>
    <t>Taytay, Rizal</t>
  </si>
  <si>
    <t>code</t>
  </si>
  <si>
    <t>QRF</t>
  </si>
  <si>
    <t>MF</t>
  </si>
  <si>
    <t>TOTAL</t>
  </si>
  <si>
    <t>expenditures</t>
  </si>
  <si>
    <t>continuing app.</t>
  </si>
  <si>
    <t>transfer to TF</t>
  </si>
  <si>
    <t>LUZETH G. MA</t>
  </si>
  <si>
    <t>OIC-Municipal Accountant</t>
  </si>
  <si>
    <r>
      <t xml:space="preserve">For the Month of April, </t>
    </r>
    <r>
      <rPr>
        <b/>
        <u/>
        <sz val="10"/>
        <color theme="1"/>
        <rFont val="Times New Roman"/>
        <family val="1"/>
      </rPr>
      <t>2014</t>
    </r>
  </si>
  <si>
    <r>
      <t xml:space="preserve">For the Month of May, </t>
    </r>
    <r>
      <rPr>
        <b/>
        <u/>
        <sz val="10"/>
        <color theme="1"/>
        <rFont val="Times New Roman"/>
        <family val="1"/>
      </rPr>
      <t>2014</t>
    </r>
  </si>
  <si>
    <r>
      <t xml:space="preserve">For the Month of June, </t>
    </r>
    <r>
      <rPr>
        <b/>
        <u/>
        <sz val="10"/>
        <color theme="1"/>
        <rFont val="Times New Roman"/>
        <family val="1"/>
      </rPr>
      <t>2014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</si>
  <si>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</si>
  <si>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For the Month of July, </t>
    </r>
    <r>
      <rPr>
        <b/>
        <u/>
        <sz val="10"/>
        <color theme="1"/>
        <rFont val="Times New Roman"/>
        <family val="1"/>
      </rPr>
      <t>2014</t>
    </r>
  </si>
  <si>
    <r>
      <t xml:space="preserve">For the Month of August, </t>
    </r>
    <r>
      <rPr>
        <b/>
        <u/>
        <sz val="10"/>
        <color theme="1"/>
        <rFont val="Times New Roman"/>
        <family val="1"/>
      </rPr>
      <t>2014</t>
    </r>
  </si>
  <si>
    <t>RAQUEL T. BALTAZAR</t>
  </si>
  <si>
    <t>Admin. Aide lll</t>
  </si>
  <si>
    <r>
      <t xml:space="preserve">For the Month of September , </t>
    </r>
    <r>
      <rPr>
        <b/>
        <u/>
        <sz val="10"/>
        <color theme="1"/>
        <rFont val="Times New Roman"/>
        <family val="1"/>
      </rPr>
      <t>2014</t>
    </r>
  </si>
  <si>
    <r>
      <t xml:space="preserve">For the Month of October , </t>
    </r>
    <r>
      <rPr>
        <b/>
        <u/>
        <sz val="10"/>
        <color theme="1"/>
        <rFont val="Times New Roman"/>
        <family val="1"/>
      </rPr>
      <t>2014</t>
    </r>
  </si>
  <si>
    <t xml:space="preserve"> Gasoline,Oil &amp; Lubricants</t>
  </si>
  <si>
    <t xml:space="preserve"> Repair &amp; Maint-Motor Vehicles</t>
  </si>
  <si>
    <t>Donation : Cash</t>
  </si>
  <si>
    <t xml:space="preserve">               In-kind</t>
  </si>
  <si>
    <t xml:space="preserve">                                 </t>
  </si>
  <si>
    <r>
      <t xml:space="preserve">For  the  Month  of  November , </t>
    </r>
    <r>
      <rPr>
        <b/>
        <u/>
        <sz val="10"/>
        <color theme="1"/>
        <rFont val="Times New Roman"/>
        <family val="1"/>
      </rPr>
      <t>2014</t>
    </r>
  </si>
  <si>
    <r>
      <t xml:space="preserve">For  the  Month  of  December , </t>
    </r>
    <r>
      <rPr>
        <b/>
        <u/>
        <sz val="10"/>
        <color theme="1"/>
        <rFont val="Times New Roman"/>
        <family val="1"/>
      </rPr>
      <t>2014</t>
    </r>
  </si>
  <si>
    <t xml:space="preserve"> Furniture &amp; Fixture</t>
  </si>
  <si>
    <t xml:space="preserve"> Other Machinery &amp; Equipment</t>
  </si>
  <si>
    <t xml:space="preserve"> Equipment</t>
  </si>
  <si>
    <r>
      <t xml:space="preserve">For  the  Month  of  January , </t>
    </r>
    <r>
      <rPr>
        <b/>
        <u/>
        <sz val="10"/>
        <color theme="1"/>
        <rFont val="Times New Roman"/>
        <family val="1"/>
      </rPr>
      <t>2015</t>
    </r>
  </si>
  <si>
    <r>
      <t xml:space="preserve">For CY   </t>
    </r>
    <r>
      <rPr>
        <b/>
        <u/>
        <sz val="9"/>
        <color theme="1"/>
        <rFont val="Times New Roman"/>
        <family val="1"/>
      </rPr>
      <t>2014</t>
    </r>
  </si>
  <si>
    <r>
      <t xml:space="preserve">For  the  Month  of  February , </t>
    </r>
    <r>
      <rPr>
        <b/>
        <u/>
        <sz val="10"/>
        <color theme="1"/>
        <rFont val="Times New Roman"/>
        <family val="1"/>
      </rPr>
      <t>2015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</si>
  <si>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</si>
  <si>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Repair &amp; Maint-Motor Vehicles</t>
  </si>
  <si>
    <t xml:space="preserve">          Other Structures/Infrastructure Program</t>
  </si>
  <si>
    <t xml:space="preserve"> Motor Vehicles</t>
  </si>
  <si>
    <t xml:space="preserve"> Transfers to other LGUs</t>
  </si>
  <si>
    <t xml:space="preserve"> Transfers to other Funds</t>
  </si>
  <si>
    <t xml:space="preserve"> Donation : Cash</t>
  </si>
  <si>
    <t>TF</t>
  </si>
  <si>
    <t xml:space="preserve"> Communication Equipment</t>
  </si>
  <si>
    <t>Drugs and Medicines</t>
  </si>
  <si>
    <t xml:space="preserve"> Office Supplies</t>
  </si>
  <si>
    <t>office equipt</t>
  </si>
  <si>
    <t>other structures</t>
  </si>
  <si>
    <t>furniture &amp; fixture</t>
  </si>
  <si>
    <t>it equipt</t>
  </si>
  <si>
    <t>other machineries &amp; equipt</t>
  </si>
  <si>
    <t>motor vehicles</t>
  </si>
  <si>
    <t>Cont Appro</t>
  </si>
  <si>
    <t>Noted &amp; Verified by:</t>
  </si>
  <si>
    <t>TMDRRMO - OIC</t>
  </si>
  <si>
    <r>
      <t xml:space="preserve">For  the  Month  of  March , </t>
    </r>
    <r>
      <rPr>
        <b/>
        <u/>
        <sz val="10"/>
        <color theme="1"/>
        <rFont val="Times New Roman"/>
        <family val="1"/>
      </rPr>
      <t>2015</t>
    </r>
  </si>
  <si>
    <r>
      <t xml:space="preserve">For  the  Month  of  April , </t>
    </r>
    <r>
      <rPr>
        <b/>
        <u/>
        <sz val="10"/>
        <color theme="1"/>
        <rFont val="Times New Roman"/>
        <family val="1"/>
      </rPr>
      <t>2015</t>
    </r>
  </si>
  <si>
    <r>
      <t xml:space="preserve">For  the  Month  of  May , </t>
    </r>
    <r>
      <rPr>
        <b/>
        <u/>
        <sz val="10"/>
        <color theme="1"/>
        <rFont val="Times New Roman"/>
        <family val="1"/>
      </rPr>
      <t>2015</t>
    </r>
  </si>
  <si>
    <t xml:space="preserve">  Office Supplies</t>
  </si>
  <si>
    <t>IT Equipment &amp; Software</t>
  </si>
  <si>
    <t>Repair &amp; Maint-Motor Vehicles</t>
  </si>
  <si>
    <r>
      <t xml:space="preserve">For  the  Month  of  July , </t>
    </r>
    <r>
      <rPr>
        <b/>
        <u/>
        <sz val="10"/>
        <color theme="1"/>
        <rFont val="Times New Roman"/>
        <family val="1"/>
      </rPr>
      <t>2015</t>
    </r>
  </si>
  <si>
    <r>
      <t xml:space="preserve">For  the  Month  of  August , </t>
    </r>
    <r>
      <rPr>
        <b/>
        <u/>
        <sz val="10"/>
        <color theme="1"/>
        <rFont val="Times New Roman"/>
        <family val="1"/>
      </rPr>
      <t>2015</t>
    </r>
  </si>
  <si>
    <r>
      <t xml:space="preserve">For  the  2nd Quarter  of  </t>
    </r>
    <r>
      <rPr>
        <b/>
        <u/>
        <sz val="10"/>
        <color theme="1"/>
        <rFont val="Times New Roman"/>
        <family val="1"/>
      </rPr>
      <t>2015</t>
    </r>
  </si>
  <si>
    <r>
      <t xml:space="preserve">For  the  Month  of  September , </t>
    </r>
    <r>
      <rPr>
        <b/>
        <u/>
        <sz val="10"/>
        <color theme="1"/>
        <rFont val="Times New Roman"/>
        <family val="1"/>
      </rPr>
      <t>2015</t>
    </r>
  </si>
  <si>
    <t xml:space="preserve"> Other Structures</t>
  </si>
  <si>
    <t xml:space="preserve">  IT Equipment &amp; Software</t>
  </si>
  <si>
    <t xml:space="preserve"> Drugs and Medicines</t>
  </si>
  <si>
    <t xml:space="preserve"> Food Supplies/Other Supplies</t>
  </si>
  <si>
    <t>DRRMO  INCOME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</si>
  <si>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</si>
  <si>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</si>
  <si>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</si>
  <si>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</si>
  <si>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</si>
  <si>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</si>
  <si>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</si>
  <si>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</si>
  <si>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</si>
  <si>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EXPENSES</t>
  </si>
  <si>
    <t>TRUST FUND</t>
  </si>
  <si>
    <t>GENERAL FUND</t>
  </si>
  <si>
    <r>
      <t xml:space="preserve">For  the Third  Quarter  of  </t>
    </r>
    <r>
      <rPr>
        <b/>
        <u/>
        <sz val="10"/>
        <color theme="1"/>
        <rFont val="Times New Roman"/>
        <family val="1"/>
      </rPr>
      <t>2015</t>
    </r>
  </si>
  <si>
    <r>
      <t xml:space="preserve">For  the  Month  of  October  , </t>
    </r>
    <r>
      <rPr>
        <b/>
        <u/>
        <sz val="10"/>
        <color theme="1"/>
        <rFont val="Times New Roman"/>
        <family val="1"/>
      </rPr>
      <t>2015</t>
    </r>
  </si>
  <si>
    <t>October</t>
  </si>
  <si>
    <t>Seminars &amp; Trainings</t>
  </si>
  <si>
    <t>November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</si>
  <si>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</si>
  <si>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For  the  Month  of  November  , </t>
    </r>
    <r>
      <rPr>
        <b/>
        <u/>
        <sz val="10"/>
        <color theme="1"/>
        <rFont val="Times New Roman"/>
        <family val="1"/>
      </rPr>
      <t>2015</t>
    </r>
  </si>
  <si>
    <t xml:space="preserve"> Office Equipment</t>
  </si>
  <si>
    <t xml:space="preserve"> Construction of Evacuation Center</t>
  </si>
  <si>
    <t xml:space="preserve"> Seminars &amp; Trainings</t>
  </si>
  <si>
    <t xml:space="preserve"> Other MOOE</t>
  </si>
  <si>
    <r>
      <t xml:space="preserve">For  the  Month  of  December , </t>
    </r>
    <r>
      <rPr>
        <b/>
        <u/>
        <sz val="10"/>
        <color theme="1"/>
        <rFont val="Times New Roman"/>
        <family val="1"/>
      </rPr>
      <t>2015</t>
    </r>
  </si>
  <si>
    <t xml:space="preserve">                                                                                        </t>
  </si>
  <si>
    <r>
      <t xml:space="preserve">For  the  Fourth Quarter of  </t>
    </r>
    <r>
      <rPr>
        <b/>
        <u/>
        <sz val="10"/>
        <color theme="1"/>
        <rFont val="Times New Roman"/>
        <family val="1"/>
      </rPr>
      <t>2015</t>
    </r>
  </si>
  <si>
    <t>December</t>
  </si>
  <si>
    <t>Apr</t>
  </si>
  <si>
    <t>Mar</t>
  </si>
  <si>
    <t>Dec</t>
  </si>
  <si>
    <t xml:space="preserve"> </t>
  </si>
  <si>
    <t>Jan 2016</t>
  </si>
  <si>
    <t>For  the  Month  of  January, 2016</t>
  </si>
  <si>
    <t>Admin. Asst l</t>
  </si>
  <si>
    <t>For  the  Month  of  February, 2016</t>
  </si>
  <si>
    <t>For  the  Month  of  March, 2016</t>
  </si>
  <si>
    <t>For  the  First Quarter, 2016</t>
  </si>
  <si>
    <t>Admin. Assistant l</t>
  </si>
  <si>
    <t>For  the  Month  of  April, 2016</t>
  </si>
  <si>
    <t xml:space="preserve"> Repair &amp; Maint-Office Equipment</t>
  </si>
  <si>
    <t>For  the  Month  of  May, 2016</t>
  </si>
  <si>
    <t>Jan</t>
  </si>
  <si>
    <t>For  the  Month  of  June , 2016</t>
  </si>
  <si>
    <t>For  the  Second Quarter , 2016</t>
  </si>
  <si>
    <t>ELMER C. ESPIRITU</t>
  </si>
  <si>
    <t>TMDRRMO - Head</t>
  </si>
  <si>
    <t>For  the  Month of July , 2016</t>
  </si>
  <si>
    <t>For  the  Month of August , 2016</t>
  </si>
  <si>
    <t>For  the  Month of September , 2016</t>
  </si>
  <si>
    <t>For  the  Third  Quarter , 2016</t>
  </si>
  <si>
    <t>For  the  Month  of  October, 2016</t>
  </si>
  <si>
    <t>For  the  Month  of  November, 2016</t>
  </si>
  <si>
    <t>For  the  Month  of  December, 2016</t>
  </si>
  <si>
    <t>GF</t>
  </si>
  <si>
    <t>LP-not reported</t>
  </si>
  <si>
    <t>For  the Fourth Quarter, 2016</t>
  </si>
  <si>
    <t>Year</t>
  </si>
  <si>
    <t>Total Amount Used</t>
  </si>
  <si>
    <t>UTILIZATION OF LDRRM FUND ANNUAL REPORT FY 2016</t>
  </si>
  <si>
    <t>General Fund</t>
  </si>
  <si>
    <t>2016</t>
  </si>
  <si>
    <t>***remaining balance based</t>
  </si>
  <si>
    <t>on Actual Income is transferred</t>
  </si>
  <si>
    <t xml:space="preserve">Continuing </t>
  </si>
  <si>
    <t>to Trust Fund in the ensuing year</t>
  </si>
  <si>
    <t>2017</t>
  </si>
  <si>
    <t>Noted By:</t>
  </si>
  <si>
    <t>Attested By:</t>
  </si>
  <si>
    <t>Amount Utilized</t>
  </si>
  <si>
    <t xml:space="preserve"> Balance</t>
  </si>
  <si>
    <t>Available Balance</t>
  </si>
  <si>
    <t>Beg. 2016</t>
  </si>
  <si>
    <t>Beg. 2017</t>
  </si>
  <si>
    <t>UTILIZATION OF LDRRM FUND  FOR THE MONTH OF JANUARY 2017</t>
  </si>
  <si>
    <t>Chairman - LDRRMC</t>
  </si>
  <si>
    <t>Hon.GEORGE RICARDO R. GACULA</t>
  </si>
  <si>
    <t>(for 30% QRF &amp; 70% Mitigation )</t>
  </si>
  <si>
    <t>Total Amount of LDRRMF                     (As per Appropriation)</t>
  </si>
  <si>
    <t>Total balance           (As per Appropriation)</t>
  </si>
  <si>
    <t>Total balance        (As per Appropriation)</t>
  </si>
  <si>
    <t>For  the  Month  of  January ,2017</t>
  </si>
  <si>
    <t>Cont Appro- FY 2017</t>
  </si>
  <si>
    <t>CCTV camera</t>
  </si>
  <si>
    <t>For  the  Month  of  February,2017</t>
  </si>
  <si>
    <t>For  the  Month  of  March, 2017</t>
  </si>
  <si>
    <t>Transportation Equipment</t>
  </si>
  <si>
    <t xml:space="preserve"> Repair &amp; Maint-Transportation Equipment</t>
  </si>
  <si>
    <t>For  the  First Quarter ,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</si>
</sst>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7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</font>
    <font>
      <b/>
      <u/>
      <sz val="10"/>
      <color theme="1"/>
      <name val="Times New Roman"/>
      <family val="1"/>
    </font>
    <font>
      <b/>
      <u/>
      <sz val="9"/>
      <color theme="1"/>
      <name val="Times New Roman"/>
      <family val="1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0"/>
      <color rgb="FF00B050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0E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23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1" fillId="0" borderId="13" xfId="0" applyFont="1" applyBorder="1" applyAlignment="1">
      <alignment horizontal="left" indent="4"/>
    </xf>
    <xf numFmtId="0" fontId="2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13" xfId="0" applyFont="1" applyBorder="1"/>
    <xf numFmtId="0" fontId="1" fillId="0" borderId="13" xfId="0" applyFont="1" applyBorder="1" applyAlignment="1">
      <alignment horizontal="center"/>
    </xf>
    <xf numFmtId="0" fontId="2" fillId="0" borderId="5" xfId="0" applyFont="1" applyBorder="1"/>
    <xf numFmtId="0" fontId="2" fillId="0" borderId="0" xfId="0" applyFont="1" applyBorder="1"/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2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left" indent="1"/>
    </xf>
    <xf numFmtId="0" fontId="1" fillId="0" borderId="11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left" indent="2"/>
    </xf>
    <xf numFmtId="0" fontId="2" fillId="0" borderId="1" xfId="0" applyFont="1" applyBorder="1"/>
    <xf numFmtId="0" fontId="2" fillId="0" borderId="10" xfId="0" applyFont="1" applyBorder="1"/>
    <xf numFmtId="0" fontId="2" fillId="0" borderId="14" xfId="0" applyFont="1" applyBorder="1"/>
    <xf numFmtId="0" fontId="2" fillId="0" borderId="12" xfId="0" applyFont="1" applyBorder="1"/>
    <xf numFmtId="0" fontId="2" fillId="0" borderId="5" xfId="0" applyFont="1" applyBorder="1" applyAlignment="1">
      <alignment horizontal="left" indent="2"/>
    </xf>
    <xf numFmtId="0" fontId="2" fillId="0" borderId="2" xfId="0" applyFont="1" applyBorder="1" applyAlignment="1">
      <alignment horizontal="left" indent="2"/>
    </xf>
    <xf numFmtId="0" fontId="2" fillId="0" borderId="7" xfId="0" applyFont="1" applyBorder="1" applyAlignment="1">
      <alignment horizontal="left" indent="3"/>
    </xf>
    <xf numFmtId="0" fontId="2" fillId="0" borderId="7" xfId="0" applyFont="1" applyBorder="1" applyAlignment="1">
      <alignment horizontal="left" indent="2"/>
    </xf>
    <xf numFmtId="0" fontId="2" fillId="0" borderId="10" xfId="0" applyFont="1" applyBorder="1" applyAlignment="1">
      <alignment horizontal="left" indent="3"/>
    </xf>
    <xf numFmtId="0" fontId="2" fillId="0" borderId="10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2" fillId="0" borderId="10" xfId="0" applyFont="1" applyBorder="1" applyAlignment="1">
      <alignment horizontal="left" indent="4"/>
    </xf>
    <xf numFmtId="0" fontId="2" fillId="0" borderId="0" xfId="0" applyFont="1" applyBorder="1" applyAlignment="1">
      <alignment horizontal="left" indent="4"/>
    </xf>
    <xf numFmtId="0" fontId="1" fillId="0" borderId="0" xfId="0" applyFont="1" applyBorder="1" applyAlignment="1">
      <alignment horizontal="left" indent="1"/>
    </xf>
    <xf numFmtId="0" fontId="1" fillId="0" borderId="0" xfId="0" applyFont="1" applyAlignment="1">
      <alignment horizontal="left" indent="4"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1" fillId="0" borderId="13" xfId="0" applyFont="1" applyBorder="1" applyAlignment="1">
      <alignment horizontal="left"/>
    </xf>
    <xf numFmtId="9" fontId="1" fillId="0" borderId="15" xfId="0" applyNumberFormat="1" applyFont="1" applyBorder="1" applyAlignment="1">
      <alignment horizontal="left"/>
    </xf>
    <xf numFmtId="0" fontId="4" fillId="0" borderId="0" xfId="0" applyFont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3" fillId="0" borderId="12" xfId="0" applyFont="1" applyBorder="1"/>
    <xf numFmtId="0" fontId="4" fillId="0" borderId="13" xfId="0" applyFont="1" applyBorder="1"/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" xfId="0" applyFont="1" applyBorder="1"/>
    <xf numFmtId="0" fontId="4" fillId="0" borderId="0" xfId="0" applyFont="1" applyBorder="1"/>
    <xf numFmtId="0" fontId="4" fillId="0" borderId="6" xfId="0" applyFont="1" applyBorder="1"/>
    <xf numFmtId="0" fontId="3" fillId="0" borderId="5" xfId="0" applyFont="1" applyBorder="1" applyAlignment="1">
      <alignment horizontal="center"/>
    </xf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5" xfId="0" applyFont="1" applyBorder="1" applyAlignment="1">
      <alignment horizontal="left" indent="10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9" fontId="3" fillId="0" borderId="5" xfId="0" applyNumberFormat="1" applyFont="1" applyBorder="1" applyAlignment="1">
      <alignment horizontal="center"/>
    </xf>
    <xf numFmtId="9" fontId="3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5" xfId="0" applyFont="1" applyBorder="1"/>
    <xf numFmtId="0" fontId="3" fillId="0" borderId="10" xfId="0" applyFont="1" applyBorder="1"/>
    <xf numFmtId="0" fontId="3" fillId="0" borderId="11" xfId="0" applyFont="1" applyBorder="1"/>
    <xf numFmtId="0" fontId="4" fillId="0" borderId="11" xfId="0" applyFont="1" applyBorder="1"/>
    <xf numFmtId="0" fontId="4" fillId="0" borderId="10" xfId="0" applyFont="1" applyBorder="1" applyAlignment="1">
      <alignment horizontal="left" indent="2"/>
    </xf>
    <xf numFmtId="0" fontId="4" fillId="0" borderId="10" xfId="0" applyFont="1" applyBorder="1"/>
    <xf numFmtId="0" fontId="4" fillId="0" borderId="2" xfId="0" applyFont="1" applyBorder="1" applyAlignment="1">
      <alignment horizontal="left" indent="2"/>
    </xf>
    <xf numFmtId="0" fontId="4" fillId="0" borderId="5" xfId="0" applyFont="1" applyBorder="1" applyAlignment="1">
      <alignment horizontal="left" indent="2"/>
    </xf>
    <xf numFmtId="0" fontId="4" fillId="0" borderId="10" xfId="0" applyFont="1" applyBorder="1" applyAlignment="1">
      <alignment horizontal="left" indent="1"/>
    </xf>
    <xf numFmtId="0" fontId="4" fillId="0" borderId="10" xfId="0" applyFont="1" applyBorder="1" applyAlignment="1">
      <alignment horizontal="left" indent="3"/>
    </xf>
    <xf numFmtId="0" fontId="4" fillId="0" borderId="2" xfId="0" applyFont="1" applyBorder="1" applyAlignment="1">
      <alignment horizontal="left" indent="3"/>
    </xf>
    <xf numFmtId="0" fontId="4" fillId="0" borderId="12" xfId="0" applyFont="1" applyBorder="1"/>
    <xf numFmtId="0" fontId="4" fillId="0" borderId="0" xfId="0" applyFont="1" applyAlignment="1">
      <alignment horizontal="left" indent="3"/>
    </xf>
    <xf numFmtId="0" fontId="3" fillId="0" borderId="0" xfId="0" applyFont="1" applyBorder="1"/>
    <xf numFmtId="0" fontId="4" fillId="0" borderId="2" xfId="0" applyFont="1" applyBorder="1" applyAlignment="1">
      <alignment horizontal="left" indent="1"/>
    </xf>
    <xf numFmtId="0" fontId="3" fillId="0" borderId="7" xfId="0" applyFont="1" applyBorder="1"/>
    <xf numFmtId="0" fontId="4" fillId="0" borderId="0" xfId="0" applyFont="1" applyBorder="1" applyAlignment="1">
      <alignment horizontal="left" indent="3"/>
    </xf>
    <xf numFmtId="0" fontId="1" fillId="0" borderId="5" xfId="0" applyFont="1" applyBorder="1" applyAlignment="1">
      <alignment horizontal="left" indent="5"/>
    </xf>
    <xf numFmtId="0" fontId="2" fillId="0" borderId="0" xfId="0" applyFont="1" applyBorder="1" applyAlignment="1">
      <alignment horizontal="left" indent="5"/>
    </xf>
    <xf numFmtId="0" fontId="3" fillId="0" borderId="10" xfId="0" applyFont="1" applyBorder="1" applyAlignment="1">
      <alignment horizontal="left" indent="10"/>
    </xf>
    <xf numFmtId="4" fontId="4" fillId="0" borderId="10" xfId="0" applyNumberFormat="1" applyFont="1" applyBorder="1"/>
    <xf numFmtId="4" fontId="4" fillId="0" borderId="11" xfId="0" applyNumberFormat="1" applyFont="1" applyBorder="1"/>
    <xf numFmtId="4" fontId="4" fillId="0" borderId="5" xfId="0" applyNumberFormat="1" applyFont="1" applyBorder="1"/>
    <xf numFmtId="4" fontId="4" fillId="0" borderId="0" xfId="0" applyNumberFormat="1" applyFont="1" applyBorder="1"/>
    <xf numFmtId="4" fontId="4" fillId="0" borderId="7" xfId="0" applyNumberFormat="1" applyFont="1" applyBorder="1"/>
    <xf numFmtId="4" fontId="4" fillId="0" borderId="1" xfId="0" applyNumberFormat="1" applyFont="1" applyBorder="1"/>
    <xf numFmtId="4" fontId="2" fillId="0" borderId="13" xfId="0" applyNumberFormat="1" applyFont="1" applyBorder="1"/>
    <xf numFmtId="4" fontId="2" fillId="0" borderId="1" xfId="0" applyNumberFormat="1" applyFont="1" applyBorder="1"/>
    <xf numFmtId="4" fontId="2" fillId="0" borderId="14" xfId="0" applyNumberFormat="1" applyFont="1" applyBorder="1"/>
    <xf numFmtId="4" fontId="2" fillId="0" borderId="15" xfId="0" applyNumberFormat="1" applyFont="1" applyBorder="1"/>
    <xf numFmtId="4" fontId="2" fillId="0" borderId="12" xfId="0" applyNumberFormat="1" applyFont="1" applyBorder="1"/>
    <xf numFmtId="4" fontId="2" fillId="0" borderId="9" xfId="0" applyNumberFormat="1" applyFont="1" applyBorder="1"/>
    <xf numFmtId="4" fontId="4" fillId="0" borderId="14" xfId="0" applyNumberFormat="1" applyFont="1" applyBorder="1"/>
    <xf numFmtId="4" fontId="4" fillId="0" borderId="13" xfId="0" applyNumberFormat="1" applyFont="1" applyBorder="1"/>
    <xf numFmtId="4" fontId="4" fillId="0" borderId="15" xfId="0" applyNumberFormat="1" applyFont="1" applyBorder="1"/>
    <xf numFmtId="0" fontId="4" fillId="0" borderId="0" xfId="0" applyFont="1" applyAlignment="1">
      <alignment horizontal="left" indent="12"/>
    </xf>
    <xf numFmtId="0" fontId="2" fillId="0" borderId="0" xfId="0" applyFont="1" applyAlignment="1">
      <alignment horizontal="left" indent="3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3" fontId="3" fillId="0" borderId="0" xfId="1" applyFont="1" applyAlignment="1">
      <alignment horizontal="center"/>
    </xf>
    <xf numFmtId="43" fontId="4" fillId="0" borderId="0" xfId="1" applyFont="1"/>
    <xf numFmtId="43" fontId="4" fillId="0" borderId="13" xfId="1" applyFont="1" applyBorder="1"/>
    <xf numFmtId="43" fontId="4" fillId="0" borderId="14" xfId="1" applyFont="1" applyBorder="1"/>
    <xf numFmtId="43" fontId="3" fillId="0" borderId="14" xfId="1" applyFont="1" applyBorder="1" applyAlignment="1">
      <alignment horizontal="center"/>
    </xf>
    <xf numFmtId="43" fontId="4" fillId="0" borderId="15" xfId="1" applyFont="1" applyBorder="1"/>
    <xf numFmtId="43" fontId="4" fillId="0" borderId="1" xfId="1" applyFont="1" applyBorder="1"/>
    <xf numFmtId="43" fontId="4" fillId="0" borderId="0" xfId="1" applyFont="1" applyBorder="1"/>
    <xf numFmtId="43" fontId="4" fillId="0" borderId="11" xfId="1" applyFont="1" applyBorder="1"/>
    <xf numFmtId="0" fontId="4" fillId="0" borderId="0" xfId="0" applyFont="1" applyAlignment="1">
      <alignment horizontal="right"/>
    </xf>
    <xf numFmtId="43" fontId="4" fillId="0" borderId="0" xfId="1" applyFont="1" applyAlignment="1">
      <alignment horizontal="center"/>
    </xf>
    <xf numFmtId="4" fontId="3" fillId="0" borderId="1" xfId="0" applyNumberFormat="1" applyFont="1" applyBorder="1"/>
    <xf numFmtId="4" fontId="7" fillId="0" borderId="15" xfId="0" applyNumberFormat="1" applyFont="1" applyBorder="1"/>
    <xf numFmtId="43" fontId="4" fillId="0" borderId="0" xfId="0" applyNumberFormat="1" applyFont="1" applyBorder="1"/>
    <xf numFmtId="0" fontId="3" fillId="0" borderId="8" xfId="0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0" fontId="1" fillId="0" borderId="7" xfId="0" quotePrefix="1" applyFont="1" applyBorder="1" applyAlignment="1">
      <alignment horizontal="center"/>
    </xf>
    <xf numFmtId="0" fontId="1" fillId="0" borderId="15" xfId="0" quotePrefix="1" applyFont="1" applyBorder="1" applyAlignment="1">
      <alignment horizontal="center"/>
    </xf>
    <xf numFmtId="0" fontId="1" fillId="0" borderId="7" xfId="0" applyFont="1" applyBorder="1" applyAlignment="1">
      <alignment horizontal="left" indent="3"/>
    </xf>
    <xf numFmtId="4" fontId="2" fillId="0" borderId="0" xfId="0" applyNumberFormat="1" applyFont="1" applyBorder="1"/>
    <xf numFmtId="0" fontId="2" fillId="0" borderId="0" xfId="0" applyFont="1" applyBorder="1" applyAlignment="1">
      <alignment horizontal="left" indent="3"/>
    </xf>
    <xf numFmtId="0" fontId="1" fillId="0" borderId="0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10" xfId="0" applyFont="1" applyBorder="1"/>
    <xf numFmtId="0" fontId="1" fillId="0" borderId="2" xfId="0" applyFont="1" applyBorder="1" applyAlignment="1">
      <alignment horizontal="left" indent="4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4" fontId="2" fillId="0" borderId="5" xfId="0" applyNumberFormat="1" applyFont="1" applyBorder="1"/>
    <xf numFmtId="4" fontId="2" fillId="0" borderId="7" xfId="0" applyNumberFormat="1" applyFont="1" applyBorder="1"/>
    <xf numFmtId="4" fontId="2" fillId="0" borderId="10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indent="4"/>
    </xf>
    <xf numFmtId="0" fontId="4" fillId="0" borderId="0" xfId="0" applyFont="1" applyBorder="1" applyAlignment="1">
      <alignment horizontal="left" indent="1"/>
    </xf>
    <xf numFmtId="0" fontId="3" fillId="0" borderId="0" xfId="0" applyFont="1" applyBorder="1" applyAlignment="1"/>
    <xf numFmtId="0" fontId="4" fillId="0" borderId="0" xfId="0" applyFont="1" applyBorder="1" applyAlignment="1"/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indent="2"/>
    </xf>
    <xf numFmtId="0" fontId="1" fillId="0" borderId="2" xfId="0" applyFont="1" applyBorder="1" applyAlignment="1">
      <alignment horizontal="left" indent="1"/>
    </xf>
    <xf numFmtId="0" fontId="2" fillId="0" borderId="5" xfId="0" applyFont="1" applyBorder="1" applyAlignment="1">
      <alignment horizontal="left" indent="3"/>
    </xf>
    <xf numFmtId="0" fontId="1" fillId="0" borderId="7" xfId="0" applyFont="1" applyBorder="1" applyAlignment="1">
      <alignment horizontal="left" indent="1"/>
    </xf>
    <xf numFmtId="0" fontId="2" fillId="0" borderId="7" xfId="0" applyFont="1" applyBorder="1" applyAlignment="1">
      <alignment horizontal="left" indent="1"/>
    </xf>
    <xf numFmtId="0" fontId="1" fillId="0" borderId="7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3" fontId="2" fillId="0" borderId="7" xfId="1" applyFont="1" applyBorder="1"/>
    <xf numFmtId="43" fontId="2" fillId="0" borderId="5" xfId="1" applyFont="1" applyBorder="1"/>
    <xf numFmtId="43" fontId="2" fillId="0" borderId="10" xfId="1" applyFont="1" applyBorder="1"/>
    <xf numFmtId="43" fontId="2" fillId="0" borderId="14" xfId="1" applyFont="1" applyBorder="1"/>
    <xf numFmtId="43" fontId="2" fillId="0" borderId="15" xfId="1" applyFont="1" applyBorder="1"/>
    <xf numFmtId="43" fontId="2" fillId="0" borderId="1" xfId="1" applyFont="1" applyBorder="1"/>
    <xf numFmtId="43" fontId="2" fillId="0" borderId="13" xfId="1" applyFont="1" applyBorder="1" applyAlignment="1"/>
    <xf numFmtId="43" fontId="2" fillId="0" borderId="15" xfId="1" applyFont="1" applyBorder="1" applyAlignment="1"/>
    <xf numFmtId="43" fontId="2" fillId="0" borderId="8" xfId="1" applyFont="1" applyBorder="1" applyAlignment="1">
      <alignment horizontal="center"/>
    </xf>
    <xf numFmtId="43" fontId="2" fillId="0" borderId="3" xfId="1" applyFont="1" applyBorder="1" applyAlignment="1">
      <alignment horizontal="center"/>
    </xf>
    <xf numFmtId="43" fontId="2" fillId="0" borderId="0" xfId="1" applyFont="1" applyBorder="1"/>
    <xf numFmtId="43" fontId="2" fillId="0" borderId="13" xfId="1" applyFont="1" applyBorder="1"/>
    <xf numFmtId="0" fontId="1" fillId="0" borderId="15" xfId="0" applyFont="1" applyBorder="1"/>
    <xf numFmtId="4" fontId="4" fillId="0" borderId="0" xfId="0" applyNumberFormat="1" applyFont="1"/>
    <xf numFmtId="43" fontId="2" fillId="0" borderId="0" xfId="0" applyNumberFormat="1" applyFont="1" applyBorder="1"/>
    <xf numFmtId="0" fontId="1" fillId="0" borderId="13" xfId="0" applyFont="1" applyBorder="1"/>
    <xf numFmtId="43" fontId="4" fillId="0" borderId="4" xfId="1" applyFont="1" applyBorder="1" applyAlignment="1">
      <alignment horizontal="right"/>
    </xf>
    <xf numFmtId="43" fontId="3" fillId="0" borderId="6" xfId="1" applyFont="1" applyBorder="1" applyAlignment="1">
      <alignment horizontal="center"/>
    </xf>
    <xf numFmtId="43" fontId="4" fillId="0" borderId="6" xfId="1" applyFont="1" applyBorder="1"/>
    <xf numFmtId="0" fontId="4" fillId="0" borderId="0" xfId="0" applyFont="1" applyBorder="1" applyAlignment="1">
      <alignment horizontal="left" indent="2"/>
    </xf>
    <xf numFmtId="43" fontId="4" fillId="0" borderId="0" xfId="0" applyNumberFormat="1" applyFont="1"/>
    <xf numFmtId="43" fontId="4" fillId="0" borderId="11" xfId="0" applyNumberFormat="1" applyFont="1" applyBorder="1"/>
    <xf numFmtId="43" fontId="4" fillId="0" borderId="0" xfId="0" applyNumberFormat="1" applyFont="1" applyAlignment="1">
      <alignment horizontal="right"/>
    </xf>
    <xf numFmtId="43" fontId="10" fillId="0" borderId="1" xfId="1" applyFont="1" applyFill="1" applyBorder="1"/>
    <xf numFmtId="43" fontId="2" fillId="0" borderId="0" xfId="1" applyFont="1"/>
    <xf numFmtId="43" fontId="2" fillId="0" borderId="11" xfId="1" applyFont="1" applyBorder="1"/>
    <xf numFmtId="43" fontId="2" fillId="0" borderId="0" xfId="0" applyNumberFormat="1" applyFont="1"/>
    <xf numFmtId="43" fontId="2" fillId="0" borderId="0" xfId="1" applyFont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43" fontId="10" fillId="0" borderId="0" xfId="1" applyFont="1" applyBorder="1"/>
    <xf numFmtId="43" fontId="10" fillId="0" borderId="0" xfId="1" applyFont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3" fontId="3" fillId="0" borderId="0" xfId="1" applyFont="1"/>
    <xf numFmtId="43" fontId="3" fillId="0" borderId="0" xfId="1" applyFont="1" applyAlignment="1">
      <alignment horizontal="right"/>
    </xf>
    <xf numFmtId="9" fontId="3" fillId="0" borderId="0" xfId="1" applyNumberFormat="1" applyFont="1"/>
    <xf numFmtId="43" fontId="4" fillId="0" borderId="3" xfId="1" applyFont="1" applyBorder="1"/>
    <xf numFmtId="0" fontId="3" fillId="0" borderId="14" xfId="0" quotePrefix="1" applyFont="1" applyBorder="1" applyAlignment="1">
      <alignment horizontal="center"/>
    </xf>
    <xf numFmtId="0" fontId="4" fillId="0" borderId="0" xfId="0" applyFont="1" applyAlignment="1">
      <alignment horizontal="center"/>
    </xf>
    <xf numFmtId="43" fontId="3" fillId="0" borderId="11" xfId="1" applyFont="1" applyBorder="1"/>
    <xf numFmtId="0" fontId="4" fillId="0" borderId="10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2" fillId="0" borderId="0" xfId="0" applyNumberFormat="1" applyFont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11" fillId="0" borderId="0" xfId="1" applyFont="1"/>
    <xf numFmtId="43" fontId="4" fillId="2" borderId="0" xfId="1" applyFont="1" applyFill="1"/>
    <xf numFmtId="4" fontId="4" fillId="2" borderId="0" xfId="0" applyNumberFormat="1" applyFont="1" applyFill="1"/>
    <xf numFmtId="4" fontId="4" fillId="2" borderId="0" xfId="0" applyNumberFormat="1" applyFont="1" applyFill="1" applyAlignment="1">
      <alignment horizontal="center"/>
    </xf>
    <xf numFmtId="43" fontId="10" fillId="0" borderId="0" xfId="1" applyFont="1" applyFill="1" applyBorder="1"/>
    <xf numFmtId="43" fontId="7" fillId="0" borderId="0" xfId="1" applyFont="1"/>
    <xf numFmtId="43" fontId="7" fillId="0" borderId="8" xfId="1" applyFont="1" applyBorder="1"/>
    <xf numFmtId="4" fontId="10" fillId="0" borderId="15" xfId="0" applyNumberFormat="1" applyFont="1" applyBorder="1"/>
    <xf numFmtId="43" fontId="4" fillId="3" borderId="0" xfId="1" applyFont="1" applyFill="1"/>
    <xf numFmtId="43" fontId="12" fillId="0" borderId="1" xfId="1" applyFont="1" applyBorder="1"/>
    <xf numFmtId="43" fontId="3" fillId="0" borderId="0" xfId="0" applyNumberFormat="1" applyFont="1" applyBorder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0" fillId="0" borderId="0" xfId="1" applyFont="1"/>
    <xf numFmtId="0" fontId="0" fillId="5" borderId="0" xfId="0" applyFill="1"/>
    <xf numFmtId="43" fontId="4" fillId="0" borderId="8" xfId="1" applyFont="1" applyBorder="1"/>
    <xf numFmtId="43" fontId="4" fillId="5" borderId="0" xfId="1" applyFont="1" applyFill="1"/>
    <xf numFmtId="43" fontId="0" fillId="6" borderId="0" xfId="1" applyFont="1" applyFill="1"/>
    <xf numFmtId="0" fontId="0" fillId="6" borderId="0" xfId="0" applyFill="1"/>
    <xf numFmtId="43" fontId="0" fillId="0" borderId="0" xfId="0" applyNumberFormat="1"/>
    <xf numFmtId="43" fontId="0" fillId="0" borderId="8" xfId="0" applyNumberFormat="1" applyBorder="1"/>
    <xf numFmtId="43" fontId="3" fillId="6" borderId="0" xfId="1" applyFont="1" applyFill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0" fillId="7" borderId="0" xfId="0" applyNumberFormat="1" applyFill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0" fillId="0" borderId="0" xfId="0" applyNumberFormat="1" applyBorder="1"/>
    <xf numFmtId="43" fontId="0" fillId="8" borderId="0" xfId="0" applyNumberFormat="1" applyFill="1"/>
    <xf numFmtId="43" fontId="3" fillId="4" borderId="0" xfId="1" applyFont="1" applyFill="1"/>
    <xf numFmtId="0" fontId="4" fillId="0" borderId="11" xfId="0" applyFont="1" applyBorder="1" applyAlignment="1">
      <alignment horizontal="left" indent="1"/>
    </xf>
    <xf numFmtId="43" fontId="10" fillId="0" borderId="1" xfId="1" applyFont="1" applyBorder="1"/>
    <xf numFmtId="4" fontId="4" fillId="0" borderId="0" xfId="0" applyNumberFormat="1" applyFont="1" applyFill="1" applyAlignment="1">
      <alignment horizontal="center"/>
    </xf>
    <xf numFmtId="4" fontId="4" fillId="0" borderId="0" xfId="0" applyNumberFormat="1" applyFont="1" applyFill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3" fillId="2" borderId="0" xfId="1" applyFont="1" applyFill="1"/>
    <xf numFmtId="0" fontId="0" fillId="0" borderId="0" xfId="0" quotePrefix="1"/>
    <xf numFmtId="4" fontId="4" fillId="2" borderId="15" xfId="0" applyNumberFormat="1" applyFont="1" applyFill="1" applyBorder="1"/>
    <xf numFmtId="0" fontId="4" fillId="4" borderId="10" xfId="0" applyFont="1" applyFill="1" applyBorder="1" applyAlignment="1">
      <alignment horizontal="left" indent="1"/>
    </xf>
    <xf numFmtId="0" fontId="4" fillId="4" borderId="11" xfId="0" applyFont="1" applyFill="1" applyBorder="1" applyAlignment="1">
      <alignment horizontal="left" indent="1"/>
    </xf>
    <xf numFmtId="0" fontId="4" fillId="4" borderId="2" xfId="0" applyFont="1" applyFill="1" applyBorder="1" applyAlignment="1">
      <alignment horizontal="left" indent="1"/>
    </xf>
    <xf numFmtId="43" fontId="4" fillId="4" borderId="1" xfId="1" applyFont="1" applyFill="1" applyBorder="1"/>
    <xf numFmtId="0" fontId="4" fillId="4" borderId="0" xfId="0" applyFont="1" applyFill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4" fillId="0" borderId="0" xfId="1" applyFont="1" applyAlignment="1">
      <alignment horizontal="center"/>
    </xf>
    <xf numFmtId="43" fontId="13" fillId="0" borderId="0" xfId="1" applyFont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4" fillId="0" borderId="0" xfId="1" applyFont="1" applyAlignment="1">
      <alignment horizontal="center"/>
    </xf>
    <xf numFmtId="4" fontId="7" fillId="0" borderId="13" xfId="0" applyNumberFormat="1" applyFont="1" applyFill="1" applyBorder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4" fillId="0" borderId="0" xfId="1" applyFont="1" applyAlignment="1">
      <alignment horizontal="center"/>
    </xf>
    <xf numFmtId="43" fontId="0" fillId="0" borderId="8" xfId="1" applyFont="1" applyBorder="1"/>
    <xf numFmtId="43" fontId="4" fillId="6" borderId="0" xfId="1" applyFont="1" applyFill="1"/>
    <xf numFmtId="0" fontId="4" fillId="0" borderId="10" xfId="0" applyFont="1" applyFill="1" applyBorder="1" applyAlignment="1">
      <alignment horizontal="left" indent="1"/>
    </xf>
    <xf numFmtId="0" fontId="4" fillId="0" borderId="11" xfId="0" applyFont="1" applyFill="1" applyBorder="1" applyAlignment="1">
      <alignment horizontal="left" indent="1"/>
    </xf>
    <xf numFmtId="4" fontId="4" fillId="0" borderId="1" xfId="0" applyNumberFormat="1" applyFont="1" applyFill="1" applyBorder="1"/>
    <xf numFmtId="0" fontId="4" fillId="0" borderId="2" xfId="0" applyFont="1" applyFill="1" applyBorder="1" applyAlignment="1">
      <alignment horizontal="left" indent="1"/>
    </xf>
    <xf numFmtId="43" fontId="4" fillId="0" borderId="1" xfId="1" applyFont="1" applyFill="1" applyBorder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4" fillId="0" borderId="0" xfId="1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4" fillId="0" borderId="0" xfId="1" applyFont="1" applyAlignment="1">
      <alignment horizontal="center"/>
    </xf>
    <xf numFmtId="4" fontId="4" fillId="2" borderId="1" xfId="0" applyNumberFormat="1" applyFont="1" applyFill="1" applyBorder="1"/>
    <xf numFmtId="4" fontId="3" fillId="2" borderId="1" xfId="0" applyNumberFormat="1" applyFont="1" applyFill="1" applyBorder="1"/>
    <xf numFmtId="4" fontId="4" fillId="9" borderId="1" xfId="0" applyNumberFormat="1" applyFont="1" applyFill="1" applyBorder="1"/>
    <xf numFmtId="4" fontId="4" fillId="0" borderId="12" xfId="0" applyNumberFormat="1" applyFont="1" applyBorder="1"/>
    <xf numFmtId="4" fontId="3" fillId="9" borderId="1" xfId="0" applyNumberFormat="1" applyFont="1" applyFill="1" applyBorder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4" fillId="0" borderId="0" xfId="1" applyFont="1" applyAlignment="1">
      <alignment horizontal="center"/>
    </xf>
    <xf numFmtId="43" fontId="4" fillId="2" borderId="13" xfId="1" applyFont="1" applyFill="1" applyBorder="1"/>
    <xf numFmtId="43" fontId="4" fillId="2" borderId="15" xfId="1" applyFont="1" applyFill="1" applyBorder="1"/>
    <xf numFmtId="4" fontId="4" fillId="4" borderId="1" xfId="0" applyNumberFormat="1" applyFont="1" applyFill="1" applyBorder="1"/>
    <xf numFmtId="4" fontId="4" fillId="4" borderId="15" xfId="0" applyNumberFormat="1" applyFont="1" applyFill="1" applyBorder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4" fillId="0" borderId="0" xfId="1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4" fillId="0" borderId="0" xfId="1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4" fillId="0" borderId="0" xfId="1" applyFont="1" applyAlignment="1">
      <alignment horizontal="center"/>
    </xf>
    <xf numFmtId="43" fontId="4" fillId="4" borderId="0" xfId="1" applyFont="1" applyFill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4" fillId="0" borderId="0" xfId="1" applyFont="1" applyAlignment="1">
      <alignment horizontal="center"/>
    </xf>
    <xf numFmtId="43" fontId="4" fillId="4" borderId="0" xfId="1" applyFont="1" applyFill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4" fillId="0" borderId="0" xfId="1" applyFont="1" applyAlignment="1">
      <alignment horizontal="center"/>
    </xf>
    <xf numFmtId="43" fontId="4" fillId="4" borderId="0" xfId="1" applyFont="1" applyFill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4" fillId="0" borderId="0" xfId="1" applyFont="1" applyAlignment="1">
      <alignment horizontal="center"/>
    </xf>
    <xf numFmtId="4" fontId="4" fillId="10" borderId="0" xfId="0" applyNumberFormat="1" applyFont="1" applyFill="1"/>
    <xf numFmtId="43" fontId="4" fillId="10" borderId="0" xfId="1" applyFont="1" applyFill="1"/>
    <xf numFmtId="43" fontId="4" fillId="10" borderId="0" xfId="1" applyFont="1" applyFill="1" applyAlignment="1">
      <alignment horizontal="left"/>
    </xf>
    <xf numFmtId="4" fontId="4" fillId="6" borderId="13" xfId="0" applyNumberFormat="1" applyFont="1" applyFill="1" applyBorder="1"/>
    <xf numFmtId="43" fontId="4" fillId="6" borderId="13" xfId="1" applyFont="1" applyFill="1" applyBorder="1"/>
    <xf numFmtId="43" fontId="4" fillId="6" borderId="15" xfId="1" applyFont="1" applyFill="1" applyBorder="1"/>
    <xf numFmtId="43" fontId="0" fillId="0" borderId="14" xfId="1" applyFont="1" applyBorder="1" applyAlignment="1"/>
    <xf numFmtId="43" fontId="0" fillId="0" borderId="14" xfId="1" applyFont="1" applyBorder="1"/>
    <xf numFmtId="43" fontId="0" fillId="0" borderId="13" xfId="1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43" fontId="5" fillId="0" borderId="13" xfId="1" applyFont="1" applyBorder="1"/>
    <xf numFmtId="0" fontId="5" fillId="0" borderId="13" xfId="0" applyFont="1" applyBorder="1"/>
    <xf numFmtId="43" fontId="5" fillId="0" borderId="14" xfId="1" applyFont="1" applyBorder="1"/>
    <xf numFmtId="0" fontId="5" fillId="0" borderId="14" xfId="0" applyFont="1" applyBorder="1"/>
    <xf numFmtId="0" fontId="5" fillId="0" borderId="15" xfId="0" applyFont="1" applyBorder="1"/>
    <xf numFmtId="0" fontId="14" fillId="0" borderId="14" xfId="0" applyFont="1" applyBorder="1" applyAlignment="1">
      <alignment horizontal="center"/>
    </xf>
    <xf numFmtId="0" fontId="5" fillId="0" borderId="14" xfId="0" quotePrefix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3" fontId="0" fillId="0" borderId="5" xfId="1" applyFont="1" applyBorder="1"/>
    <xf numFmtId="43" fontId="0" fillId="0" borderId="2" xfId="1" applyFont="1" applyBorder="1"/>
    <xf numFmtId="0" fontId="5" fillId="0" borderId="6" xfId="0" applyFont="1" applyBorder="1"/>
    <xf numFmtId="0" fontId="14" fillId="0" borderId="1" xfId="0" applyFont="1" applyBorder="1" applyAlignment="1">
      <alignment horizontal="center"/>
    </xf>
    <xf numFmtId="0" fontId="14" fillId="0" borderId="0" xfId="0" applyFont="1"/>
    <xf numFmtId="0" fontId="14" fillId="0" borderId="0" xfId="0" applyFont="1" applyBorder="1"/>
    <xf numFmtId="0" fontId="5" fillId="0" borderId="0" xfId="0" applyFont="1" applyBorder="1"/>
    <xf numFmtId="43" fontId="5" fillId="0" borderId="15" xfId="1" applyFont="1" applyBorder="1"/>
    <xf numFmtId="0" fontId="14" fillId="0" borderId="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4" xfId="0" quotePrefix="1" applyFont="1" applyBorder="1" applyAlignment="1">
      <alignment horizontal="center"/>
    </xf>
    <xf numFmtId="43" fontId="5" fillId="0" borderId="14" xfId="1" applyFont="1" applyBorder="1" applyAlignment="1">
      <alignment horizontal="center"/>
    </xf>
    <xf numFmtId="43" fontId="4" fillId="4" borderId="0" xfId="1" applyFont="1" applyFill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4" fillId="0" borderId="0" xfId="1" applyFont="1" applyAlignment="1">
      <alignment horizontal="center"/>
    </xf>
    <xf numFmtId="4" fontId="4" fillId="6" borderId="14" xfId="0" applyNumberFormat="1" applyFont="1" applyFill="1" applyBorder="1"/>
    <xf numFmtId="4" fontId="4" fillId="6" borderId="15" xfId="0" applyNumberFormat="1" applyFont="1" applyFill="1" applyBorder="1"/>
    <xf numFmtId="43" fontId="2" fillId="6" borderId="10" xfId="1" applyFont="1" applyFill="1" applyBorder="1"/>
    <xf numFmtId="43" fontId="2" fillId="6" borderId="11" xfId="1" applyFont="1" applyFill="1" applyBorder="1"/>
    <xf numFmtId="43" fontId="4" fillId="4" borderId="0" xfId="1" applyFont="1" applyFill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4" fillId="0" borderId="0" xfId="1" applyFont="1" applyAlignment="1">
      <alignment horizontal="center"/>
    </xf>
    <xf numFmtId="43" fontId="7" fillId="0" borderId="0" xfId="1" applyFont="1" applyBorder="1"/>
    <xf numFmtId="4" fontId="10" fillId="0" borderId="15" xfId="0" applyNumberFormat="1" applyFont="1" applyFill="1" applyBorder="1"/>
    <xf numFmtId="43" fontId="4" fillId="0" borderId="15" xfId="1" applyFont="1" applyFill="1" applyBorder="1"/>
    <xf numFmtId="43" fontId="4" fillId="0" borderId="13" xfId="1" applyFont="1" applyFill="1" applyBorder="1"/>
    <xf numFmtId="43" fontId="4" fillId="4" borderId="0" xfId="1" applyFont="1" applyFill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4" fillId="0" borderId="0" xfId="1" applyFont="1" applyAlignment="1">
      <alignment horizontal="center"/>
    </xf>
    <xf numFmtId="4" fontId="4" fillId="0" borderId="15" xfId="0" applyNumberFormat="1" applyFont="1" applyFill="1" applyBorder="1"/>
    <xf numFmtId="4" fontId="3" fillId="0" borderId="1" xfId="0" applyNumberFormat="1" applyFont="1" applyFill="1" applyBorder="1"/>
    <xf numFmtId="43" fontId="4" fillId="0" borderId="8" xfId="1" applyFont="1" applyBorder="1" applyAlignment="1">
      <alignment horizontal="center"/>
    </xf>
    <xf numFmtId="43" fontId="4" fillId="4" borderId="0" xfId="1" applyFont="1" applyFill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3" fontId="4" fillId="0" borderId="0" xfId="1" applyFont="1" applyAlignment="1">
      <alignment horizontal="center"/>
    </xf>
    <xf numFmtId="43" fontId="4" fillId="0" borderId="0" xfId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6699"/>
      <color rgb="FF95374D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251077</xdr:colOff>
      <xdr:row>101</xdr:row>
      <xdr:rowOff>85726</xdr:rowOff>
    </xdr:from>
    <xdr:to>
      <xdr:col>7</xdr:col>
      <xdr:colOff>499820</xdr:colOff>
      <xdr:row>102</xdr:row>
      <xdr:rowOff>73747</xdr:rowOff>
    </xdr:to>
    <xdr:pic>
      <xdr:nvPicPr>
        <xdr:cNvPr id="2" name="Picture 1" descr="GAAMS 2.0 - MUNICIPALITY OF TAYTAY   , RIZAL ( GENERAL FUND ) 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556089">
          <a:off x="5489827" y="18840451"/>
          <a:ext cx="248743" cy="14994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251077</xdr:colOff>
      <xdr:row>101</xdr:row>
      <xdr:rowOff>85726</xdr:rowOff>
    </xdr:from>
    <xdr:to>
      <xdr:col>7</xdr:col>
      <xdr:colOff>499820</xdr:colOff>
      <xdr:row>102</xdr:row>
      <xdr:rowOff>73747</xdr:rowOff>
    </xdr:to>
    <xdr:pic>
      <xdr:nvPicPr>
        <xdr:cNvPr id="2" name="Picture 1" descr="GAAMS 2.0 - MUNICIPALITY OF TAYTAY   , RIZAL ( GENERAL FUND ) 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556089">
          <a:off x="5489827" y="18840451"/>
          <a:ext cx="248743" cy="14994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251077</xdr:colOff>
      <xdr:row>101</xdr:row>
      <xdr:rowOff>85726</xdr:rowOff>
    </xdr:from>
    <xdr:to>
      <xdr:col>7</xdr:col>
      <xdr:colOff>499820</xdr:colOff>
      <xdr:row>102</xdr:row>
      <xdr:rowOff>73747</xdr:rowOff>
    </xdr:to>
    <xdr:pic>
      <xdr:nvPicPr>
        <xdr:cNvPr id="2" name="Picture 1" descr="GAAMS 2.0 - MUNICIPALITY OF TAYTAY   , RIZAL ( GENERAL FUND ) 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556089">
          <a:off x="5489827" y="18840451"/>
          <a:ext cx="248743" cy="14994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251077</xdr:colOff>
      <xdr:row>101</xdr:row>
      <xdr:rowOff>85726</xdr:rowOff>
    </xdr:from>
    <xdr:to>
      <xdr:col>7</xdr:col>
      <xdr:colOff>499820</xdr:colOff>
      <xdr:row>102</xdr:row>
      <xdr:rowOff>73747</xdr:rowOff>
    </xdr:to>
    <xdr:pic>
      <xdr:nvPicPr>
        <xdr:cNvPr id="2" name="Picture 1" descr="GAAMS 2.0 - MUNICIPALITY OF TAYTAY   , RIZAL ( GENERAL FUND ) 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556089">
          <a:off x="5489827" y="18840451"/>
          <a:ext cx="248743" cy="14994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251077</xdr:colOff>
      <xdr:row>101</xdr:row>
      <xdr:rowOff>85726</xdr:rowOff>
    </xdr:from>
    <xdr:to>
      <xdr:col>7</xdr:col>
      <xdr:colOff>499820</xdr:colOff>
      <xdr:row>102</xdr:row>
      <xdr:rowOff>73747</xdr:rowOff>
    </xdr:to>
    <xdr:pic>
      <xdr:nvPicPr>
        <xdr:cNvPr id="2" name="Picture 1" descr="GAAMS 2.0 - MUNICIPALITY OF TAYTAY   , RIZAL ( GENERAL FUND ) 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556089">
          <a:off x="5489827" y="18840451"/>
          <a:ext cx="248743" cy="14994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251077</xdr:colOff>
      <xdr:row>101</xdr:row>
      <xdr:rowOff>85726</xdr:rowOff>
    </xdr:from>
    <xdr:to>
      <xdr:col>7</xdr:col>
      <xdr:colOff>499820</xdr:colOff>
      <xdr:row>102</xdr:row>
      <xdr:rowOff>73747</xdr:rowOff>
    </xdr:to>
    <xdr:pic>
      <xdr:nvPicPr>
        <xdr:cNvPr id="2" name="Picture 1" descr="GAAMS 2.0 - MUNICIPALITY OF TAYTAY   , RIZAL ( GENERAL FUND ) 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556089">
          <a:off x="5489827" y="18840451"/>
          <a:ext cx="248743" cy="14994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251077</xdr:colOff>
      <xdr:row>101</xdr:row>
      <xdr:rowOff>85726</xdr:rowOff>
    </xdr:from>
    <xdr:to>
      <xdr:col>7</xdr:col>
      <xdr:colOff>499820</xdr:colOff>
      <xdr:row>102</xdr:row>
      <xdr:rowOff>73747</xdr:rowOff>
    </xdr:to>
    <xdr:pic>
      <xdr:nvPicPr>
        <xdr:cNvPr id="2" name="Picture 1" descr="GAAMS 2.0 - MUNICIPALITY OF TAYTAY   , RIZAL ( GENERAL FUND ) 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556089">
          <a:off x="5489827" y="18840451"/>
          <a:ext cx="248743" cy="14994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251077</xdr:colOff>
      <xdr:row>101</xdr:row>
      <xdr:rowOff>85726</xdr:rowOff>
    </xdr:from>
    <xdr:to>
      <xdr:col>7</xdr:col>
      <xdr:colOff>499820</xdr:colOff>
      <xdr:row>102</xdr:row>
      <xdr:rowOff>73747</xdr:rowOff>
    </xdr:to>
    <xdr:pic>
      <xdr:nvPicPr>
        <xdr:cNvPr id="2" name="Picture 1" descr="GAAMS 2.0 - MUNICIPALITY OF TAYTAY   , RIZAL ( GENERAL FUND ) 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556089">
          <a:off x="5489827" y="18840451"/>
          <a:ext cx="248743" cy="14994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251077</xdr:colOff>
      <xdr:row>101</xdr:row>
      <xdr:rowOff>85726</xdr:rowOff>
    </xdr:from>
    <xdr:to>
      <xdr:col>7</xdr:col>
      <xdr:colOff>499820</xdr:colOff>
      <xdr:row>102</xdr:row>
      <xdr:rowOff>73747</xdr:rowOff>
    </xdr:to>
    <xdr:pic>
      <xdr:nvPicPr>
        <xdr:cNvPr id="2" name="Picture 1" descr="GAAMS 2.0 - MUNICIPALITY OF TAYTAY   , RIZAL ( GENERAL FUND ) 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556089">
          <a:off x="5489827" y="18840451"/>
          <a:ext cx="248743" cy="14994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251077</xdr:colOff>
      <xdr:row>101</xdr:row>
      <xdr:rowOff>85726</xdr:rowOff>
    </xdr:from>
    <xdr:to>
      <xdr:col>7</xdr:col>
      <xdr:colOff>499820</xdr:colOff>
      <xdr:row>102</xdr:row>
      <xdr:rowOff>73747</xdr:rowOff>
    </xdr:to>
    <xdr:pic>
      <xdr:nvPicPr>
        <xdr:cNvPr id="2" name="Picture 1" descr="GAAMS 2.0 - MUNICIPALITY OF TAYTAY   , RIZAL ( GENERAL FUND ) 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556089">
          <a:off x="5489827" y="18840451"/>
          <a:ext cx="248743" cy="14994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251077</xdr:colOff>
      <xdr:row>101</xdr:row>
      <xdr:rowOff>85726</xdr:rowOff>
    </xdr:from>
    <xdr:to>
      <xdr:col>7</xdr:col>
      <xdr:colOff>499820</xdr:colOff>
      <xdr:row>102</xdr:row>
      <xdr:rowOff>73747</xdr:rowOff>
    </xdr:to>
    <xdr:pic>
      <xdr:nvPicPr>
        <xdr:cNvPr id="2" name="Picture 1" descr="GAAMS 2.0 - MUNICIPALITY OF TAYTAY   , RIZAL ( GENERAL FUND ) 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556089">
          <a:off x="5489827" y="18840451"/>
          <a:ext cx="248743" cy="1499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251077</xdr:colOff>
      <xdr:row>101</xdr:row>
      <xdr:rowOff>85726</xdr:rowOff>
    </xdr:from>
    <xdr:to>
      <xdr:col>7</xdr:col>
      <xdr:colOff>499820</xdr:colOff>
      <xdr:row>102</xdr:row>
      <xdr:rowOff>73747</xdr:rowOff>
    </xdr:to>
    <xdr:pic>
      <xdr:nvPicPr>
        <xdr:cNvPr id="2" name="Picture 1" descr="GAAMS 2.0 - MUNICIPALITY OF TAYTAY   , RIZAL ( GENERAL FUND ) 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556089">
          <a:off x="5489827" y="18840451"/>
          <a:ext cx="248743" cy="14994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251077</xdr:colOff>
      <xdr:row>101</xdr:row>
      <xdr:rowOff>0</xdr:rowOff>
    </xdr:from>
    <xdr:to>
      <xdr:col>7</xdr:col>
      <xdr:colOff>499820</xdr:colOff>
      <xdr:row>101</xdr:row>
      <xdr:rowOff>149946</xdr:rowOff>
    </xdr:to>
    <xdr:pic>
      <xdr:nvPicPr>
        <xdr:cNvPr id="2" name="Picture 1" descr="GAAMS 2.0 - MUNICIPALITY OF TAYTAY   , RIZAL ( GENERAL FUND ) 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556089">
          <a:off x="5489827" y="18840451"/>
          <a:ext cx="248743" cy="14994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251077</xdr:colOff>
      <xdr:row>101</xdr:row>
      <xdr:rowOff>85726</xdr:rowOff>
    </xdr:from>
    <xdr:to>
      <xdr:col>7</xdr:col>
      <xdr:colOff>499820</xdr:colOff>
      <xdr:row>102</xdr:row>
      <xdr:rowOff>73747</xdr:rowOff>
    </xdr:to>
    <xdr:pic>
      <xdr:nvPicPr>
        <xdr:cNvPr id="2" name="Picture 1" descr="GAAMS 2.0 - MUNICIPALITY OF TAYTAY   , RIZAL ( GENERAL FUND ) 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556089">
          <a:off x="5489827" y="18840451"/>
          <a:ext cx="248743" cy="14994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251077</xdr:colOff>
      <xdr:row>101</xdr:row>
      <xdr:rowOff>85726</xdr:rowOff>
    </xdr:from>
    <xdr:to>
      <xdr:col>7</xdr:col>
      <xdr:colOff>499820</xdr:colOff>
      <xdr:row>102</xdr:row>
      <xdr:rowOff>73747</xdr:rowOff>
    </xdr:to>
    <xdr:pic>
      <xdr:nvPicPr>
        <xdr:cNvPr id="2" name="Picture 1" descr="GAAMS 2.0 - MUNICIPALITY OF TAYTAY   , RIZAL ( GENERAL FUND ) 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556089">
          <a:off x="5489827" y="18840451"/>
          <a:ext cx="248743" cy="14994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251077</xdr:colOff>
      <xdr:row>101</xdr:row>
      <xdr:rowOff>85726</xdr:rowOff>
    </xdr:from>
    <xdr:to>
      <xdr:col>7</xdr:col>
      <xdr:colOff>499820</xdr:colOff>
      <xdr:row>102</xdr:row>
      <xdr:rowOff>73747</xdr:rowOff>
    </xdr:to>
    <xdr:pic>
      <xdr:nvPicPr>
        <xdr:cNvPr id="2" name="Picture 1" descr="GAAMS 2.0 - MUNICIPALITY OF TAYTAY   , RIZAL ( GENERAL FUND ) 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556089">
          <a:off x="5489827" y="18840451"/>
          <a:ext cx="248743" cy="149946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251077</xdr:colOff>
      <xdr:row>101</xdr:row>
      <xdr:rowOff>85726</xdr:rowOff>
    </xdr:from>
    <xdr:to>
      <xdr:col>7</xdr:col>
      <xdr:colOff>499820</xdr:colOff>
      <xdr:row>102</xdr:row>
      <xdr:rowOff>73747</xdr:rowOff>
    </xdr:to>
    <xdr:pic>
      <xdr:nvPicPr>
        <xdr:cNvPr id="2" name="Picture 1" descr="GAAMS 2.0 - MUNICIPALITY OF TAYTAY   , RIZAL ( GENERAL FUND ) 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556089">
          <a:off x="5489827" y="18611851"/>
          <a:ext cx="248743" cy="149946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251077</xdr:colOff>
      <xdr:row>100</xdr:row>
      <xdr:rowOff>85726</xdr:rowOff>
    </xdr:from>
    <xdr:to>
      <xdr:col>7</xdr:col>
      <xdr:colOff>499820</xdr:colOff>
      <xdr:row>101</xdr:row>
      <xdr:rowOff>73747</xdr:rowOff>
    </xdr:to>
    <xdr:pic>
      <xdr:nvPicPr>
        <xdr:cNvPr id="2" name="Picture 1" descr="GAAMS 2.0 - MUNICIPALITY OF TAYTAY   , RIZAL ( GENERAL FUND ) 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556089">
          <a:off x="5489827" y="18611851"/>
          <a:ext cx="248743" cy="149946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251077</xdr:colOff>
      <xdr:row>100</xdr:row>
      <xdr:rowOff>85726</xdr:rowOff>
    </xdr:from>
    <xdr:to>
      <xdr:col>7</xdr:col>
      <xdr:colOff>499820</xdr:colOff>
      <xdr:row>101</xdr:row>
      <xdr:rowOff>73747</xdr:rowOff>
    </xdr:to>
    <xdr:pic>
      <xdr:nvPicPr>
        <xdr:cNvPr id="2" name="Picture 1" descr="GAAMS 2.0 - MUNICIPALITY OF TAYTAY   , RIZAL ( GENERAL FUND ) 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556089">
          <a:off x="5489827" y="18611851"/>
          <a:ext cx="248743" cy="149946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251077</xdr:colOff>
      <xdr:row>100</xdr:row>
      <xdr:rowOff>85726</xdr:rowOff>
    </xdr:from>
    <xdr:to>
      <xdr:col>7</xdr:col>
      <xdr:colOff>499820</xdr:colOff>
      <xdr:row>101</xdr:row>
      <xdr:rowOff>73747</xdr:rowOff>
    </xdr:to>
    <xdr:pic>
      <xdr:nvPicPr>
        <xdr:cNvPr id="2" name="Picture 1" descr="GAAMS 2.0 - MUNICIPALITY OF TAYTAY   , RIZAL ( GENERAL FUND ) 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556089">
          <a:off x="5489827" y="18611851"/>
          <a:ext cx="248743" cy="149946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251077</xdr:colOff>
      <xdr:row>100</xdr:row>
      <xdr:rowOff>85726</xdr:rowOff>
    </xdr:from>
    <xdr:to>
      <xdr:col>7</xdr:col>
      <xdr:colOff>499820</xdr:colOff>
      <xdr:row>101</xdr:row>
      <xdr:rowOff>73747</xdr:rowOff>
    </xdr:to>
    <xdr:pic>
      <xdr:nvPicPr>
        <xdr:cNvPr id="2" name="Picture 1" descr="GAAMS 2.0 - MUNICIPALITY OF TAYTAY   , RIZAL ( GENERAL FUND ) 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556089">
          <a:off x="5489827" y="18611851"/>
          <a:ext cx="248743" cy="149946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251077</xdr:colOff>
      <xdr:row>100</xdr:row>
      <xdr:rowOff>85726</xdr:rowOff>
    </xdr:from>
    <xdr:to>
      <xdr:col>7</xdr:col>
      <xdr:colOff>499820</xdr:colOff>
      <xdr:row>101</xdr:row>
      <xdr:rowOff>73747</xdr:rowOff>
    </xdr:to>
    <xdr:pic>
      <xdr:nvPicPr>
        <xdr:cNvPr id="2" name="Picture 1" descr="GAAMS 2.0 - MUNICIPALITY OF TAYTAY   , RIZAL ( GENERAL FUND ) 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556089">
          <a:off x="5489827" y="18611851"/>
          <a:ext cx="248743" cy="1499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251077</xdr:colOff>
      <xdr:row>101</xdr:row>
      <xdr:rowOff>85726</xdr:rowOff>
    </xdr:from>
    <xdr:to>
      <xdr:col>7</xdr:col>
      <xdr:colOff>499820</xdr:colOff>
      <xdr:row>102</xdr:row>
      <xdr:rowOff>73747</xdr:rowOff>
    </xdr:to>
    <xdr:pic>
      <xdr:nvPicPr>
        <xdr:cNvPr id="2" name="Picture 1" descr="GAAMS 2.0 - MUNICIPALITY OF TAYTAY   , RIZAL ( GENERAL FUND ) 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556089">
          <a:off x="5489827" y="18840451"/>
          <a:ext cx="248743" cy="149946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251077</xdr:colOff>
      <xdr:row>100</xdr:row>
      <xdr:rowOff>85726</xdr:rowOff>
    </xdr:from>
    <xdr:to>
      <xdr:col>7</xdr:col>
      <xdr:colOff>499820</xdr:colOff>
      <xdr:row>101</xdr:row>
      <xdr:rowOff>73747</xdr:rowOff>
    </xdr:to>
    <xdr:pic>
      <xdr:nvPicPr>
        <xdr:cNvPr id="2" name="Picture 1" descr="GAAMS 2.0 - MUNICIPALITY OF TAYTAY   , RIZAL ( GENERAL FUND ) 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556089">
          <a:off x="5489827" y="18611851"/>
          <a:ext cx="248743" cy="149946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251077</xdr:colOff>
      <xdr:row>101</xdr:row>
      <xdr:rowOff>85726</xdr:rowOff>
    </xdr:from>
    <xdr:to>
      <xdr:col>7</xdr:col>
      <xdr:colOff>499820</xdr:colOff>
      <xdr:row>102</xdr:row>
      <xdr:rowOff>73747</xdr:rowOff>
    </xdr:to>
    <xdr:pic>
      <xdr:nvPicPr>
        <xdr:cNvPr id="2" name="Picture 1" descr="GAAMS 2.0 - MUNICIPALITY OF TAYTAY   , RIZAL ( GENERAL FUND ) 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556089">
          <a:off x="5489827" y="18611851"/>
          <a:ext cx="248743" cy="149946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251077</xdr:colOff>
      <xdr:row>102</xdr:row>
      <xdr:rowOff>85726</xdr:rowOff>
    </xdr:from>
    <xdr:to>
      <xdr:col>7</xdr:col>
      <xdr:colOff>499820</xdr:colOff>
      <xdr:row>103</xdr:row>
      <xdr:rowOff>73747</xdr:rowOff>
    </xdr:to>
    <xdr:pic>
      <xdr:nvPicPr>
        <xdr:cNvPr id="2" name="Picture 1" descr="GAAMS 2.0 - MUNICIPALITY OF TAYTAY   , RIZAL ( GENERAL FUND ) 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556089">
          <a:off x="5489827" y="18611851"/>
          <a:ext cx="248743" cy="149946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251077</xdr:colOff>
      <xdr:row>101</xdr:row>
      <xdr:rowOff>85726</xdr:rowOff>
    </xdr:from>
    <xdr:to>
      <xdr:col>7</xdr:col>
      <xdr:colOff>499820</xdr:colOff>
      <xdr:row>102</xdr:row>
      <xdr:rowOff>73747</xdr:rowOff>
    </xdr:to>
    <xdr:pic>
      <xdr:nvPicPr>
        <xdr:cNvPr id="2" name="Picture 1" descr="GAAMS 2.0 - MUNICIPALITY OF TAYTAY   , RIZAL ( GENERAL FUND ) 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556089">
          <a:off x="5489827" y="18611851"/>
          <a:ext cx="248743" cy="149946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251077</xdr:colOff>
      <xdr:row>100</xdr:row>
      <xdr:rowOff>85726</xdr:rowOff>
    </xdr:from>
    <xdr:to>
      <xdr:col>7</xdr:col>
      <xdr:colOff>499820</xdr:colOff>
      <xdr:row>101</xdr:row>
      <xdr:rowOff>73747</xdr:rowOff>
    </xdr:to>
    <xdr:pic>
      <xdr:nvPicPr>
        <xdr:cNvPr id="2" name="Picture 1" descr="GAAMS 2.0 - MUNICIPALITY OF TAYTAY   , RIZAL ( GENERAL FUND ) 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556089">
          <a:off x="5489827" y="18611851"/>
          <a:ext cx="248743" cy="149946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251077</xdr:colOff>
      <xdr:row>100</xdr:row>
      <xdr:rowOff>85726</xdr:rowOff>
    </xdr:from>
    <xdr:to>
      <xdr:col>7</xdr:col>
      <xdr:colOff>499820</xdr:colOff>
      <xdr:row>101</xdr:row>
      <xdr:rowOff>73747</xdr:rowOff>
    </xdr:to>
    <xdr:pic>
      <xdr:nvPicPr>
        <xdr:cNvPr id="2" name="Picture 1" descr="GAAMS 2.0 - MUNICIPALITY OF TAYTAY   , RIZAL ( GENERAL FUND ) 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556089">
          <a:off x="5489827" y="18840451"/>
          <a:ext cx="248743" cy="149946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44</xdr:row>
      <xdr:rowOff>19050</xdr:rowOff>
    </xdr:from>
    <xdr:to>
      <xdr:col>5</xdr:col>
      <xdr:colOff>523875</xdr:colOff>
      <xdr:row>44</xdr:row>
      <xdr:rowOff>19050</xdr:rowOff>
    </xdr:to>
    <xdr:cxnSp macro="">
      <xdr:nvCxnSpPr>
        <xdr:cNvPr id="2" name="Straight Connector 1"/>
        <xdr:cNvCxnSpPr/>
      </xdr:nvCxnSpPr>
      <xdr:spPr>
        <a:xfrm>
          <a:off x="1552575" y="6905625"/>
          <a:ext cx="196215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809625</xdr:colOff>
      <xdr:row>43</xdr:row>
      <xdr:rowOff>142875</xdr:rowOff>
    </xdr:from>
    <xdr:to>
      <xdr:col>10</xdr:col>
      <xdr:colOff>600075</xdr:colOff>
      <xdr:row>44</xdr:row>
      <xdr:rowOff>0</xdr:rowOff>
    </xdr:to>
    <xdr:cxnSp macro="">
      <xdr:nvCxnSpPr>
        <xdr:cNvPr id="3" name="Straight Connector 2"/>
        <xdr:cNvCxnSpPr/>
      </xdr:nvCxnSpPr>
      <xdr:spPr>
        <a:xfrm>
          <a:off x="6686550" y="6867525"/>
          <a:ext cx="1457325" cy="190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251077</xdr:colOff>
      <xdr:row>100</xdr:row>
      <xdr:rowOff>85726</xdr:rowOff>
    </xdr:from>
    <xdr:to>
      <xdr:col>7</xdr:col>
      <xdr:colOff>499820</xdr:colOff>
      <xdr:row>101</xdr:row>
      <xdr:rowOff>73747</xdr:rowOff>
    </xdr:to>
    <xdr:pic>
      <xdr:nvPicPr>
        <xdr:cNvPr id="2" name="Picture 1" descr="GAAMS 2.0 - MUNICIPALITY OF TAYTAY   , RIZAL ( GENERAL FUND ) 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556089">
          <a:off x="5346952" y="18611851"/>
          <a:ext cx="248743" cy="149946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44</xdr:row>
      <xdr:rowOff>19050</xdr:rowOff>
    </xdr:from>
    <xdr:to>
      <xdr:col>2</xdr:col>
      <xdr:colOff>523875</xdr:colOff>
      <xdr:row>44</xdr:row>
      <xdr:rowOff>19050</xdr:rowOff>
    </xdr:to>
    <xdr:cxnSp macro="">
      <xdr:nvCxnSpPr>
        <xdr:cNvPr id="3" name="Straight Connector 2"/>
        <xdr:cNvCxnSpPr/>
      </xdr:nvCxnSpPr>
      <xdr:spPr>
        <a:xfrm>
          <a:off x="1552575" y="6696075"/>
          <a:ext cx="146685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809625</xdr:colOff>
      <xdr:row>43</xdr:row>
      <xdr:rowOff>142875</xdr:rowOff>
    </xdr:from>
    <xdr:to>
      <xdr:col>7</xdr:col>
      <xdr:colOff>600075</xdr:colOff>
      <xdr:row>44</xdr:row>
      <xdr:rowOff>0</xdr:rowOff>
    </xdr:to>
    <xdr:cxnSp macro="">
      <xdr:nvCxnSpPr>
        <xdr:cNvPr id="4" name="Straight Connector 3"/>
        <xdr:cNvCxnSpPr/>
      </xdr:nvCxnSpPr>
      <xdr:spPr>
        <a:xfrm>
          <a:off x="6191250" y="6657975"/>
          <a:ext cx="1676400" cy="190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44</xdr:row>
      <xdr:rowOff>19050</xdr:rowOff>
    </xdr:from>
    <xdr:to>
      <xdr:col>5</xdr:col>
      <xdr:colOff>523875</xdr:colOff>
      <xdr:row>44</xdr:row>
      <xdr:rowOff>19050</xdr:rowOff>
    </xdr:to>
    <xdr:cxnSp macro="">
      <xdr:nvCxnSpPr>
        <xdr:cNvPr id="3" name="Straight Connector 2"/>
        <xdr:cNvCxnSpPr/>
      </xdr:nvCxnSpPr>
      <xdr:spPr>
        <a:xfrm>
          <a:off x="1552575" y="6696075"/>
          <a:ext cx="146685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809625</xdr:colOff>
      <xdr:row>43</xdr:row>
      <xdr:rowOff>142875</xdr:rowOff>
    </xdr:from>
    <xdr:to>
      <xdr:col>10</xdr:col>
      <xdr:colOff>600075</xdr:colOff>
      <xdr:row>44</xdr:row>
      <xdr:rowOff>0</xdr:rowOff>
    </xdr:to>
    <xdr:cxnSp macro="">
      <xdr:nvCxnSpPr>
        <xdr:cNvPr id="4" name="Straight Connector 3"/>
        <xdr:cNvCxnSpPr/>
      </xdr:nvCxnSpPr>
      <xdr:spPr>
        <a:xfrm>
          <a:off x="6191250" y="6657975"/>
          <a:ext cx="1676400" cy="190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251077</xdr:colOff>
      <xdr:row>101</xdr:row>
      <xdr:rowOff>85726</xdr:rowOff>
    </xdr:from>
    <xdr:to>
      <xdr:col>7</xdr:col>
      <xdr:colOff>499820</xdr:colOff>
      <xdr:row>102</xdr:row>
      <xdr:rowOff>73747</xdr:rowOff>
    </xdr:to>
    <xdr:pic>
      <xdr:nvPicPr>
        <xdr:cNvPr id="2" name="Picture 1" descr="GAAMS 2.0 - MUNICIPALITY OF TAYTAY   , RIZAL ( GENERAL FUND ) 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556089">
          <a:off x="5489827" y="18840451"/>
          <a:ext cx="248743" cy="1499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251077</xdr:colOff>
      <xdr:row>101</xdr:row>
      <xdr:rowOff>85726</xdr:rowOff>
    </xdr:from>
    <xdr:to>
      <xdr:col>7</xdr:col>
      <xdr:colOff>499820</xdr:colOff>
      <xdr:row>102</xdr:row>
      <xdr:rowOff>73747</xdr:rowOff>
    </xdr:to>
    <xdr:pic>
      <xdr:nvPicPr>
        <xdr:cNvPr id="2" name="Picture 1" descr="GAAMS 2.0 - MUNICIPALITY OF TAYTAY   , RIZAL ( GENERAL FUND ) 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556089">
          <a:off x="5489827" y="18840451"/>
          <a:ext cx="248743" cy="1499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251077</xdr:colOff>
      <xdr:row>101</xdr:row>
      <xdr:rowOff>85726</xdr:rowOff>
    </xdr:from>
    <xdr:to>
      <xdr:col>7</xdr:col>
      <xdr:colOff>499820</xdr:colOff>
      <xdr:row>102</xdr:row>
      <xdr:rowOff>73747</xdr:rowOff>
    </xdr:to>
    <xdr:pic>
      <xdr:nvPicPr>
        <xdr:cNvPr id="2" name="Picture 1" descr="GAAMS 2.0 - MUNICIPALITY OF TAYTAY   , RIZAL ( GENERAL FUND ) 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556089">
          <a:off x="5489827" y="18840451"/>
          <a:ext cx="248743" cy="14994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251077</xdr:colOff>
      <xdr:row>101</xdr:row>
      <xdr:rowOff>85726</xdr:rowOff>
    </xdr:from>
    <xdr:to>
      <xdr:col>7</xdr:col>
      <xdr:colOff>499820</xdr:colOff>
      <xdr:row>102</xdr:row>
      <xdr:rowOff>73747</xdr:rowOff>
    </xdr:to>
    <xdr:pic>
      <xdr:nvPicPr>
        <xdr:cNvPr id="2" name="Picture 1" descr="GAAMS 2.0 - MUNICIPALITY OF TAYTAY   , RIZAL ( GENERAL FUND ) 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556089">
          <a:off x="5489827" y="18840451"/>
          <a:ext cx="248743" cy="14994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251077</xdr:colOff>
      <xdr:row>101</xdr:row>
      <xdr:rowOff>85726</xdr:rowOff>
    </xdr:from>
    <xdr:to>
      <xdr:col>7</xdr:col>
      <xdr:colOff>499820</xdr:colOff>
      <xdr:row>102</xdr:row>
      <xdr:rowOff>73747</xdr:rowOff>
    </xdr:to>
    <xdr:pic>
      <xdr:nvPicPr>
        <xdr:cNvPr id="2" name="Picture 1" descr="GAAMS 2.0 - MUNICIPALITY OF TAYTAY   , RIZAL ( GENERAL FUND ) 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556089">
          <a:off x="5489827" y="18840451"/>
          <a:ext cx="248743" cy="14994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251077</xdr:colOff>
      <xdr:row>101</xdr:row>
      <xdr:rowOff>85726</xdr:rowOff>
    </xdr:from>
    <xdr:to>
      <xdr:col>7</xdr:col>
      <xdr:colOff>499820</xdr:colOff>
      <xdr:row>102</xdr:row>
      <xdr:rowOff>73747</xdr:rowOff>
    </xdr:to>
    <xdr:pic>
      <xdr:nvPicPr>
        <xdr:cNvPr id="2" name="Picture 1" descr="GAAMS 2.0 - MUNICIPALITY OF TAYTAY   , RIZAL ( GENERAL FUND ) 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556089">
          <a:off x="5489827" y="18840451"/>
          <a:ext cx="248743" cy="149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N99"/>
  <sheetViews>
    <sheetView tabSelected="1" workbookViewId="0">
      <selection activeCell="D13" sqref="D13"/>
    </sheetView>
  </sheetViews>
  <sheetFormatPr defaultRowHeight="12.75"/>
  <cols>
    <col min="1" max="1" width="6" style="46" customWidth="1"/>
    <col min="2" max="3" width="9.140625" style="46"/>
    <col min="4" max="4" width="16.5703125" style="46" customWidth="1"/>
    <col min="5" max="6" width="13.85546875" style="46" customWidth="1"/>
    <col min="7" max="7" width="10" style="46" customWidth="1"/>
    <col min="8" max="8" width="11.5703125" style="46" customWidth="1"/>
    <col min="9" max="9" width="11.42578125" style="46" customWidth="1"/>
    <col min="10" max="10" width="13.28515625" style="109" customWidth="1"/>
    <col min="11" max="11" width="15.7109375" style="46" customWidth="1"/>
    <col min="12" max="12" width="16.85546875" style="109" customWidth="1"/>
    <col min="13" max="13" width="17" style="109" customWidth="1"/>
    <col min="14" max="14" width="17" style="46" customWidth="1"/>
    <col min="15" max="16384" width="9.140625" style="46"/>
  </cols>
  <sheetData>
    <row r="1" spans="1:13">
      <c r="A1" s="47"/>
      <c r="B1" s="48"/>
      <c r="C1" s="48"/>
      <c r="D1" s="48"/>
      <c r="E1" s="48"/>
      <c r="F1" s="48"/>
      <c r="G1" s="48"/>
      <c r="H1" s="48"/>
      <c r="I1" s="48"/>
      <c r="J1" s="169" t="s">
        <v>81</v>
      </c>
    </row>
    <row r="2" spans="1:13">
      <c r="A2" s="389" t="s">
        <v>80</v>
      </c>
      <c r="B2" s="390"/>
      <c r="C2" s="390"/>
      <c r="D2" s="390"/>
      <c r="E2" s="390"/>
      <c r="F2" s="390"/>
      <c r="G2" s="390"/>
      <c r="H2" s="390"/>
      <c r="I2" s="390"/>
      <c r="J2" s="391"/>
    </row>
    <row r="3" spans="1:13">
      <c r="A3" s="389" t="s">
        <v>341</v>
      </c>
      <c r="B3" s="390"/>
      <c r="C3" s="390"/>
      <c r="D3" s="390"/>
      <c r="E3" s="390"/>
      <c r="F3" s="390"/>
      <c r="G3" s="390"/>
      <c r="H3" s="390"/>
      <c r="I3" s="390"/>
      <c r="J3" s="391"/>
    </row>
    <row r="4" spans="1:13">
      <c r="A4" s="389"/>
      <c r="B4" s="390"/>
      <c r="C4" s="390"/>
      <c r="D4" s="390"/>
      <c r="E4" s="390"/>
      <c r="F4" s="390"/>
      <c r="G4" s="390"/>
      <c r="H4" s="390"/>
      <c r="I4" s="390"/>
      <c r="J4" s="391"/>
    </row>
    <row r="5" spans="1:13">
      <c r="A5" s="54" t="s">
        <v>77</v>
      </c>
      <c r="B5" s="383"/>
      <c r="C5" s="383"/>
      <c r="D5" s="383"/>
      <c r="E5" s="383"/>
      <c r="F5" s="383"/>
      <c r="G5" s="383"/>
      <c r="H5" s="383"/>
      <c r="I5" s="383"/>
      <c r="J5" s="170"/>
    </row>
    <row r="6" spans="1:13">
      <c r="A6" s="54" t="s">
        <v>76</v>
      </c>
      <c r="B6" s="55"/>
      <c r="C6" s="55"/>
      <c r="D6" s="55"/>
      <c r="E6" s="55"/>
      <c r="F6" s="55"/>
      <c r="G6" s="55"/>
      <c r="H6" s="55" t="s">
        <v>278</v>
      </c>
      <c r="I6" s="55"/>
      <c r="J6" s="171"/>
      <c r="K6" s="46" t="s">
        <v>210</v>
      </c>
    </row>
    <row r="7" spans="1:13">
      <c r="A7" s="47"/>
      <c r="B7" s="48"/>
      <c r="C7" s="48"/>
      <c r="D7" s="49"/>
      <c r="E7" s="88" t="s">
        <v>8</v>
      </c>
      <c r="F7" s="50"/>
      <c r="G7" s="52"/>
      <c r="H7" s="52"/>
      <c r="I7" s="53"/>
      <c r="J7" s="110"/>
    </row>
    <row r="8" spans="1:13">
      <c r="A8" s="54"/>
      <c r="B8" s="55"/>
      <c r="C8" s="55"/>
      <c r="D8" s="56"/>
      <c r="E8" s="382" t="s">
        <v>9</v>
      </c>
      <c r="F8" s="53"/>
      <c r="G8" s="59"/>
      <c r="H8" s="59"/>
      <c r="I8" s="58"/>
      <c r="J8" s="111"/>
    </row>
    <row r="9" spans="1:13">
      <c r="A9" s="61" t="s">
        <v>68</v>
      </c>
      <c r="B9" s="55"/>
      <c r="C9" s="55"/>
      <c r="D9" s="56"/>
      <c r="E9" s="382" t="s">
        <v>10</v>
      </c>
      <c r="F9" s="60" t="s">
        <v>12</v>
      </c>
      <c r="G9" s="60" t="s">
        <v>14</v>
      </c>
      <c r="H9" s="60" t="s">
        <v>20</v>
      </c>
      <c r="I9" s="60" t="s">
        <v>22</v>
      </c>
      <c r="J9" s="112" t="s">
        <v>24</v>
      </c>
    </row>
    <row r="10" spans="1:13">
      <c r="A10" s="54"/>
      <c r="B10" s="55"/>
      <c r="C10" s="55"/>
      <c r="D10" s="56"/>
      <c r="E10" s="382" t="s">
        <v>11</v>
      </c>
      <c r="F10" s="60" t="s">
        <v>13</v>
      </c>
      <c r="G10" s="59"/>
      <c r="H10" s="60" t="s">
        <v>21</v>
      </c>
      <c r="I10" s="60" t="s">
        <v>23</v>
      </c>
      <c r="J10" s="111"/>
    </row>
    <row r="11" spans="1:13">
      <c r="A11" s="62"/>
      <c r="B11" s="63"/>
      <c r="C11" s="63"/>
      <c r="D11" s="64"/>
      <c r="E11" s="65">
        <v>0.3</v>
      </c>
      <c r="F11" s="66">
        <v>0.7</v>
      </c>
      <c r="G11" s="59"/>
      <c r="H11" s="67"/>
      <c r="I11" s="68"/>
      <c r="J11" s="113"/>
    </row>
    <row r="12" spans="1:13" ht="18" customHeight="1">
      <c r="A12" s="70" t="s">
        <v>0</v>
      </c>
      <c r="B12" s="71"/>
      <c r="C12" s="71"/>
      <c r="D12" s="72"/>
      <c r="E12" s="51"/>
      <c r="F12" s="51"/>
      <c r="G12" s="51"/>
      <c r="H12" s="51"/>
      <c r="I12" s="51"/>
      <c r="J12" s="110"/>
      <c r="L12" s="381" t="s">
        <v>90</v>
      </c>
      <c r="M12" s="381" t="s">
        <v>89</v>
      </c>
    </row>
    <row r="13" spans="1:13" ht="18" customHeight="1">
      <c r="A13" s="73" t="s">
        <v>1</v>
      </c>
      <c r="B13" s="72"/>
      <c r="C13" s="72"/>
      <c r="D13" s="72"/>
      <c r="E13" s="94">
        <f>M19*0.3</f>
        <v>276345.87975000008</v>
      </c>
      <c r="F13" s="94">
        <f>M19*0.7</f>
        <v>644807.05275000015</v>
      </c>
      <c r="G13" s="94"/>
      <c r="H13" s="94"/>
      <c r="I13" s="94"/>
      <c r="J13" s="294">
        <f>SUM(E13:I13)</f>
        <v>921152.93250000023</v>
      </c>
      <c r="K13" s="175"/>
      <c r="L13" s="109">
        <v>21367644.399999999</v>
      </c>
      <c r="M13" s="109">
        <v>4171566.4</v>
      </c>
    </row>
    <row r="14" spans="1:13" ht="18" customHeight="1">
      <c r="A14" s="73" t="s">
        <v>2</v>
      </c>
      <c r="B14" s="72"/>
      <c r="C14" s="72"/>
      <c r="D14" s="72"/>
      <c r="E14" s="102"/>
      <c r="F14" s="102"/>
      <c r="G14" s="102"/>
      <c r="H14" s="102"/>
      <c r="I14" s="102"/>
      <c r="J14" s="380"/>
      <c r="K14" s="117" t="s">
        <v>88</v>
      </c>
      <c r="L14" s="109">
        <v>9400000</v>
      </c>
      <c r="M14" s="109">
        <v>5637398.9699999997</v>
      </c>
    </row>
    <row r="15" spans="1:13" ht="18" customHeight="1">
      <c r="A15" s="75" t="s">
        <v>3</v>
      </c>
      <c r="B15" s="48"/>
      <c r="C15" s="48"/>
      <c r="D15" s="48"/>
      <c r="E15" s="102"/>
      <c r="F15" s="102"/>
      <c r="G15" s="102"/>
      <c r="H15" s="102"/>
      <c r="I15" s="102"/>
      <c r="J15" s="110"/>
      <c r="L15" s="116">
        <f>SUM(L13:L14)</f>
        <v>30767644.399999999</v>
      </c>
      <c r="M15" s="116">
        <f>SUM(M13:M14)</f>
        <v>9808965.3699999992</v>
      </c>
    </row>
    <row r="16" spans="1:13" ht="18" customHeight="1">
      <c r="A16" s="76" t="s">
        <v>78</v>
      </c>
      <c r="B16" s="55"/>
      <c r="C16" s="55"/>
      <c r="D16" s="55"/>
      <c r="E16" s="103"/>
      <c r="F16" s="103"/>
      <c r="G16" s="103"/>
      <c r="H16" s="103"/>
      <c r="I16" s="103"/>
      <c r="J16" s="379"/>
      <c r="K16" s="46">
        <v>11930281.960000001</v>
      </c>
    </row>
    <row r="17" spans="1:14" ht="18" customHeight="1">
      <c r="A17" s="77" t="s">
        <v>79</v>
      </c>
      <c r="B17" s="72"/>
      <c r="C17" s="72"/>
      <c r="D17" s="72"/>
      <c r="E17" s="94"/>
      <c r="F17" s="94"/>
      <c r="G17" s="94"/>
      <c r="H17" s="94"/>
      <c r="I17" s="94"/>
      <c r="J17" s="113">
        <f>SUM(E17:I17)</f>
        <v>0</v>
      </c>
      <c r="K17" s="173">
        <f>K16-J16</f>
        <v>11930281.960000001</v>
      </c>
      <c r="M17" s="109">
        <v>25936573.030000001</v>
      </c>
    </row>
    <row r="18" spans="1:14" ht="18" customHeight="1">
      <c r="A18" s="70" t="s">
        <v>7</v>
      </c>
      <c r="B18" s="72"/>
      <c r="C18" s="72"/>
      <c r="D18" s="72"/>
      <c r="E18" s="119">
        <f>SUM(E13:E17)</f>
        <v>276345.87975000008</v>
      </c>
      <c r="F18" s="119">
        <f t="shared" ref="F18:J18" si="0">SUM(F13:F17)</f>
        <v>644807.05275000015</v>
      </c>
      <c r="G18" s="119">
        <f t="shared" si="0"/>
        <v>0</v>
      </c>
      <c r="H18" s="119">
        <f t="shared" si="0"/>
        <v>0</v>
      </c>
      <c r="I18" s="119">
        <f t="shared" si="0"/>
        <v>0</v>
      </c>
      <c r="J18" s="305">
        <f t="shared" si="0"/>
        <v>921152.93250000023</v>
      </c>
      <c r="K18" s="166">
        <f t="shared" ref="K18:K45" si="1">SUM(E18:I18)</f>
        <v>921152.93250000023</v>
      </c>
      <c r="L18" s="193" t="s">
        <v>171</v>
      </c>
      <c r="M18" s="192">
        <f>267282115.25-248859056.6</f>
        <v>18423058.650000006</v>
      </c>
    </row>
    <row r="19" spans="1:14" s="109" customFormat="1" ht="18" customHeight="1">
      <c r="A19" s="74" t="s">
        <v>99</v>
      </c>
      <c r="B19" s="72" t="s">
        <v>100</v>
      </c>
      <c r="C19" s="72"/>
      <c r="D19" s="72"/>
      <c r="E19" s="94">
        <f>'DRRM Funds -Feb''17 '!E46</f>
        <v>35426983.989</v>
      </c>
      <c r="F19" s="94">
        <f>'DRRM Funds -Feb''17 '!F46</f>
        <v>32201872.750999998</v>
      </c>
      <c r="G19" s="94">
        <f>'DRRM Funds -Feb''17 '!G46</f>
        <v>0</v>
      </c>
      <c r="H19" s="94">
        <f>'DRRM Funds -Feb''17 '!H46</f>
        <v>0</v>
      </c>
      <c r="I19" s="94">
        <f>'DRRM Funds -Feb''17 '!I46</f>
        <v>0</v>
      </c>
      <c r="J19" s="94">
        <f>'DRRM Funds -Feb''17 '!J46</f>
        <v>67628856.74000001</v>
      </c>
      <c r="K19" s="166">
        <f t="shared" si="1"/>
        <v>67628856.739999995</v>
      </c>
      <c r="L19" s="194">
        <v>0.05</v>
      </c>
      <c r="M19" s="269">
        <f>M18*0.05</f>
        <v>921152.93250000034</v>
      </c>
    </row>
    <row r="20" spans="1:14" s="109" customFormat="1" ht="18" customHeight="1">
      <c r="A20" s="70" t="s">
        <v>101</v>
      </c>
      <c r="B20" s="122"/>
      <c r="C20" s="72"/>
      <c r="D20" s="72"/>
      <c r="E20" s="119">
        <f>SUM(E18:E19)</f>
        <v>35703329.868749999</v>
      </c>
      <c r="F20" s="119">
        <f t="shared" ref="F20:J20" si="2">SUM(F18:F19)</f>
        <v>32846679.803749997</v>
      </c>
      <c r="G20" s="119">
        <f t="shared" si="2"/>
        <v>0</v>
      </c>
      <c r="H20" s="119">
        <f t="shared" si="2"/>
        <v>0</v>
      </c>
      <c r="I20" s="119">
        <f t="shared" si="2"/>
        <v>0</v>
      </c>
      <c r="J20" s="119">
        <f t="shared" si="2"/>
        <v>68550009.672500014</v>
      </c>
      <c r="K20" s="166">
        <f t="shared" si="1"/>
        <v>68550009.672499999</v>
      </c>
    </row>
    <row r="21" spans="1:14" ht="18" customHeight="1">
      <c r="A21" s="70" t="s">
        <v>15</v>
      </c>
      <c r="B21" s="72"/>
      <c r="C21" s="72"/>
      <c r="D21" s="72"/>
      <c r="E21" s="94"/>
      <c r="F21" s="94"/>
      <c r="G21" s="94"/>
      <c r="H21" s="94"/>
      <c r="I21" s="94"/>
      <c r="J21" s="114"/>
      <c r="K21" s="166">
        <f t="shared" si="1"/>
        <v>0</v>
      </c>
      <c r="M21" s="109">
        <v>26972032.48</v>
      </c>
    </row>
    <row r="22" spans="1:14" ht="18" customHeight="1">
      <c r="A22" s="77" t="s">
        <v>206</v>
      </c>
      <c r="B22" s="263"/>
      <c r="C22" s="263"/>
      <c r="D22" s="263"/>
      <c r="E22" s="94"/>
      <c r="F22" s="94"/>
      <c r="G22" s="94"/>
      <c r="H22" s="94"/>
      <c r="I22" s="94"/>
      <c r="J22" s="114">
        <f>SUM(E22:I22)</f>
        <v>0</v>
      </c>
      <c r="K22" s="166"/>
    </row>
    <row r="23" spans="1:14" ht="18" customHeight="1">
      <c r="A23" s="77" t="s">
        <v>251</v>
      </c>
      <c r="B23" s="263"/>
      <c r="C23" s="263"/>
      <c r="D23" s="263"/>
      <c r="E23" s="94"/>
      <c r="F23" s="94"/>
      <c r="G23" s="94"/>
      <c r="H23" s="94"/>
      <c r="I23" s="94"/>
      <c r="J23" s="114">
        <f t="shared" ref="J23:J42" si="3">SUM(E23:I23)</f>
        <v>0</v>
      </c>
      <c r="K23" s="166">
        <f t="shared" si="1"/>
        <v>0</v>
      </c>
      <c r="L23" s="176">
        <f>518731460.56*0.05</f>
        <v>25936573.028000001</v>
      </c>
      <c r="M23" s="109">
        <v>125607.13</v>
      </c>
    </row>
    <row r="24" spans="1:14" ht="18" customHeight="1">
      <c r="A24" s="290" t="s">
        <v>229</v>
      </c>
      <c r="B24" s="291"/>
      <c r="C24" s="291"/>
      <c r="D24" s="291"/>
      <c r="E24" s="292"/>
      <c r="F24" s="292">
        <v>8187</v>
      </c>
      <c r="G24" s="292"/>
      <c r="H24" s="292"/>
      <c r="I24" s="292"/>
      <c r="J24" s="114">
        <f t="shared" si="3"/>
        <v>8187</v>
      </c>
      <c r="K24" s="166"/>
      <c r="L24" s="228"/>
    </row>
    <row r="25" spans="1:14" ht="18" customHeight="1">
      <c r="A25" s="290" t="s">
        <v>252</v>
      </c>
      <c r="B25" s="291"/>
      <c r="C25" s="291"/>
      <c r="D25" s="291"/>
      <c r="E25" s="292"/>
      <c r="F25" s="292">
        <f>231912.68+87000</f>
        <v>318912.68</v>
      </c>
      <c r="G25" s="292"/>
      <c r="H25" s="292"/>
      <c r="I25" s="292"/>
      <c r="J25" s="114">
        <f t="shared" si="3"/>
        <v>318912.68</v>
      </c>
      <c r="K25" s="166">
        <f t="shared" si="1"/>
        <v>318912.68</v>
      </c>
      <c r="M25" s="232" t="s">
        <v>335</v>
      </c>
    </row>
    <row r="26" spans="1:14" ht="18" customHeight="1">
      <c r="A26" s="290" t="s">
        <v>276</v>
      </c>
      <c r="B26" s="291"/>
      <c r="C26" s="291"/>
      <c r="D26" s="291"/>
      <c r="E26" s="292"/>
      <c r="F26" s="292">
        <v>673811.12</v>
      </c>
      <c r="G26" s="292"/>
      <c r="H26" s="292"/>
      <c r="I26" s="292"/>
      <c r="J26" s="294">
        <f t="shared" si="3"/>
        <v>673811.12</v>
      </c>
      <c r="K26" s="166">
        <f t="shared" si="1"/>
        <v>673811.12</v>
      </c>
      <c r="M26" s="229">
        <v>375607.13</v>
      </c>
      <c r="N26" s="46" t="s">
        <v>230</v>
      </c>
    </row>
    <row r="27" spans="1:14" ht="18" customHeight="1">
      <c r="A27" s="293" t="s">
        <v>275</v>
      </c>
      <c r="B27" s="291"/>
      <c r="C27" s="291"/>
      <c r="D27" s="291"/>
      <c r="E27" s="292"/>
      <c r="F27" s="292"/>
      <c r="G27" s="292"/>
      <c r="H27" s="292"/>
      <c r="I27" s="292"/>
      <c r="J27" s="114">
        <f t="shared" si="3"/>
        <v>0</v>
      </c>
      <c r="K27" s="166">
        <f t="shared" si="1"/>
        <v>0</v>
      </c>
      <c r="M27" s="229">
        <v>820000</v>
      </c>
      <c r="N27" s="46" t="s">
        <v>232</v>
      </c>
    </row>
    <row r="28" spans="1:14" ht="18" customHeight="1">
      <c r="A28" s="290" t="s">
        <v>339</v>
      </c>
      <c r="B28" s="291"/>
      <c r="C28" s="291"/>
      <c r="D28" s="291"/>
      <c r="E28" s="292"/>
      <c r="F28" s="292"/>
      <c r="G28" s="292"/>
      <c r="H28" s="292"/>
      <c r="I28" s="292"/>
      <c r="J28" s="114">
        <f t="shared" si="3"/>
        <v>0</v>
      </c>
      <c r="K28" s="166">
        <f t="shared" si="1"/>
        <v>0</v>
      </c>
      <c r="M28" s="229">
        <v>1470000</v>
      </c>
      <c r="N28" s="46" t="s">
        <v>233</v>
      </c>
    </row>
    <row r="29" spans="1:14" ht="18" customHeight="1">
      <c r="A29" s="290" t="s">
        <v>227</v>
      </c>
      <c r="B29" s="291"/>
      <c r="C29" s="291"/>
      <c r="D29" s="291"/>
      <c r="E29" s="292"/>
      <c r="F29" s="292"/>
      <c r="G29" s="292"/>
      <c r="H29" s="292"/>
      <c r="I29" s="292"/>
      <c r="J29" s="114">
        <f t="shared" si="3"/>
        <v>0</v>
      </c>
      <c r="K29" s="166">
        <f t="shared" si="1"/>
        <v>0</v>
      </c>
      <c r="L29" s="384"/>
      <c r="M29" s="229">
        <v>3821228.76</v>
      </c>
      <c r="N29" s="46" t="s">
        <v>231</v>
      </c>
    </row>
    <row r="30" spans="1:14" ht="18" customHeight="1">
      <c r="A30" s="290" t="s">
        <v>273</v>
      </c>
      <c r="B30" s="291"/>
      <c r="C30" s="291"/>
      <c r="D30" s="291"/>
      <c r="E30" s="292"/>
      <c r="F30" s="292"/>
      <c r="G30" s="292"/>
      <c r="H30" s="292"/>
      <c r="I30" s="292"/>
      <c r="J30" s="114">
        <f t="shared" si="3"/>
        <v>0</v>
      </c>
      <c r="K30" s="166"/>
      <c r="L30" s="384"/>
      <c r="M30" s="229">
        <v>6109630</v>
      </c>
      <c r="N30" s="46" t="s">
        <v>234</v>
      </c>
    </row>
    <row r="31" spans="1:14" ht="18" customHeight="1">
      <c r="A31" s="290" t="s">
        <v>213</v>
      </c>
      <c r="B31" s="291"/>
      <c r="C31" s="291"/>
      <c r="D31" s="291"/>
      <c r="E31" s="292"/>
      <c r="F31" s="292"/>
      <c r="G31" s="292"/>
      <c r="H31" s="292"/>
      <c r="I31" s="292"/>
      <c r="J31" s="114">
        <f t="shared" si="3"/>
        <v>0</v>
      </c>
      <c r="K31" s="166"/>
      <c r="L31" s="384"/>
      <c r="M31" s="377">
        <v>3363100</v>
      </c>
      <c r="N31" s="46" t="s">
        <v>235</v>
      </c>
    </row>
    <row r="32" spans="1:14" ht="18" customHeight="1">
      <c r="A32" s="290" t="s">
        <v>250</v>
      </c>
      <c r="B32" s="291"/>
      <c r="C32" s="291"/>
      <c r="D32" s="291"/>
      <c r="E32" s="292"/>
      <c r="F32" s="292">
        <v>11875</v>
      </c>
      <c r="G32" s="292"/>
      <c r="H32" s="292"/>
      <c r="I32" s="292"/>
      <c r="J32" s="114">
        <f t="shared" si="3"/>
        <v>11875</v>
      </c>
      <c r="K32" s="166"/>
      <c r="L32" s="384"/>
      <c r="M32" s="230">
        <v>45000</v>
      </c>
      <c r="N32" s="46" t="s">
        <v>336</v>
      </c>
    </row>
    <row r="33" spans="1:13" ht="18" customHeight="1">
      <c r="A33" s="290" t="s">
        <v>214</v>
      </c>
      <c r="B33" s="291"/>
      <c r="C33" s="291"/>
      <c r="D33" s="291"/>
      <c r="E33" s="292"/>
      <c r="F33" s="292"/>
      <c r="G33" s="292"/>
      <c r="H33" s="292"/>
      <c r="I33" s="292"/>
      <c r="J33" s="114">
        <f t="shared" si="3"/>
        <v>0</v>
      </c>
      <c r="K33" s="227"/>
      <c r="L33" s="384"/>
      <c r="M33" s="289">
        <f>SUM(M26:M32)</f>
        <v>16004565.890000001</v>
      </c>
    </row>
    <row r="34" spans="1:13" ht="18" customHeight="1">
      <c r="A34" s="290" t="s">
        <v>249</v>
      </c>
      <c r="B34" s="291"/>
      <c r="C34" s="291"/>
      <c r="D34" s="291"/>
      <c r="E34" s="292"/>
      <c r="F34" s="292"/>
      <c r="G34" s="292"/>
      <c r="H34" s="292"/>
      <c r="I34" s="292"/>
      <c r="J34" s="114">
        <f t="shared" si="3"/>
        <v>0</v>
      </c>
      <c r="K34" s="265"/>
      <c r="L34" s="384"/>
    </row>
    <row r="35" spans="1:13" ht="18" customHeight="1">
      <c r="A35" s="290" t="s">
        <v>222</v>
      </c>
      <c r="B35" s="291"/>
      <c r="C35" s="291"/>
      <c r="D35" s="291"/>
      <c r="E35" s="292"/>
      <c r="F35" s="292"/>
      <c r="G35" s="292"/>
      <c r="H35" s="292"/>
      <c r="I35" s="292"/>
      <c r="J35" s="114">
        <f t="shared" si="3"/>
        <v>0</v>
      </c>
      <c r="K35" s="266">
        <f t="shared" si="1"/>
        <v>0</v>
      </c>
      <c r="L35" s="109">
        <f>SUM(F29:F35)</f>
        <v>11875</v>
      </c>
    </row>
    <row r="36" spans="1:13" ht="18" customHeight="1">
      <c r="A36" s="290" t="s">
        <v>223</v>
      </c>
      <c r="B36" s="291"/>
      <c r="C36" s="291"/>
      <c r="D36" s="291"/>
      <c r="E36" s="292"/>
      <c r="F36" s="292"/>
      <c r="G36" s="292"/>
      <c r="H36" s="292"/>
      <c r="I36" s="292"/>
      <c r="J36" s="114">
        <f t="shared" si="3"/>
        <v>0</v>
      </c>
      <c r="K36" s="166">
        <f t="shared" si="1"/>
        <v>0</v>
      </c>
      <c r="L36" s="109">
        <v>147060</v>
      </c>
    </row>
    <row r="37" spans="1:13" ht="18" customHeight="1">
      <c r="A37" s="290" t="s">
        <v>168</v>
      </c>
      <c r="B37" s="291"/>
      <c r="C37" s="291"/>
      <c r="D37" s="291"/>
      <c r="E37" s="292"/>
      <c r="F37" s="292"/>
      <c r="G37" s="292"/>
      <c r="H37" s="292"/>
      <c r="I37" s="292"/>
      <c r="J37" s="114">
        <f t="shared" si="3"/>
        <v>0</v>
      </c>
      <c r="K37" s="166">
        <f t="shared" si="1"/>
        <v>0</v>
      </c>
    </row>
    <row r="38" spans="1:13" ht="18" customHeight="1">
      <c r="A38" s="290" t="s">
        <v>293</v>
      </c>
      <c r="B38" s="291"/>
      <c r="C38" s="291"/>
      <c r="D38" s="291"/>
      <c r="E38" s="292"/>
      <c r="F38" s="292"/>
      <c r="G38" s="292"/>
      <c r="H38" s="292"/>
      <c r="I38" s="292"/>
      <c r="J38" s="114">
        <f t="shared" si="3"/>
        <v>0</v>
      </c>
      <c r="K38" s="166">
        <f t="shared" si="1"/>
        <v>0</v>
      </c>
      <c r="L38" s="109">
        <v>1555500</v>
      </c>
    </row>
    <row r="39" spans="1:13" ht="18" customHeight="1">
      <c r="A39" s="290" t="s">
        <v>340</v>
      </c>
      <c r="B39" s="291"/>
      <c r="C39" s="291"/>
      <c r="D39" s="291"/>
      <c r="E39" s="292"/>
      <c r="F39" s="292">
        <v>12800</v>
      </c>
      <c r="G39" s="292"/>
      <c r="H39" s="292"/>
      <c r="I39" s="292"/>
      <c r="J39" s="114">
        <f t="shared" si="3"/>
        <v>12800</v>
      </c>
      <c r="K39" s="166"/>
    </row>
    <row r="40" spans="1:13" ht="18" customHeight="1">
      <c r="A40" s="83" t="s">
        <v>94</v>
      </c>
      <c r="B40" s="263"/>
      <c r="C40" s="263"/>
      <c r="D40" s="263"/>
      <c r="E40" s="94"/>
      <c r="F40" s="94"/>
      <c r="G40" s="94"/>
      <c r="H40" s="94"/>
      <c r="I40" s="94"/>
      <c r="J40" s="114">
        <f t="shared" si="3"/>
        <v>0</v>
      </c>
      <c r="K40" s="166">
        <f t="shared" si="1"/>
        <v>0</v>
      </c>
      <c r="L40" s="109">
        <v>177000</v>
      </c>
    </row>
    <row r="41" spans="1:13" ht="18" customHeight="1">
      <c r="A41" s="83" t="s">
        <v>95</v>
      </c>
      <c r="B41" s="263"/>
      <c r="C41" s="263"/>
      <c r="D41" s="263"/>
      <c r="E41" s="94"/>
      <c r="F41" s="94"/>
      <c r="G41" s="94"/>
      <c r="H41" s="94"/>
      <c r="I41" s="94"/>
      <c r="J41" s="114">
        <f t="shared" si="3"/>
        <v>0</v>
      </c>
      <c r="K41" s="166">
        <f t="shared" si="1"/>
        <v>0</v>
      </c>
      <c r="L41" s="109">
        <v>204055</v>
      </c>
    </row>
    <row r="42" spans="1:13" ht="18" customHeight="1">
      <c r="A42" s="77" t="s">
        <v>96</v>
      </c>
      <c r="B42" s="263"/>
      <c r="C42" s="263"/>
      <c r="D42" s="263"/>
      <c r="E42" s="94"/>
      <c r="F42" s="102"/>
      <c r="G42" s="94"/>
      <c r="H42" s="94"/>
      <c r="I42" s="94"/>
      <c r="J42" s="114">
        <f t="shared" si="3"/>
        <v>0</v>
      </c>
      <c r="K42" s="166">
        <f t="shared" si="1"/>
        <v>0</v>
      </c>
      <c r="L42" s="109">
        <v>71070</v>
      </c>
    </row>
    <row r="43" spans="1:13" ht="18" customHeight="1">
      <c r="A43" s="84" t="s">
        <v>92</v>
      </c>
      <c r="B43" s="63"/>
      <c r="C43" s="63"/>
      <c r="D43" s="63"/>
      <c r="E43" s="89">
        <f>SUM(E22:E42)</f>
        <v>0</v>
      </c>
      <c r="F43" s="303">
        <f>SUM(F22:F42)</f>
        <v>1025585.8</v>
      </c>
      <c r="G43" s="304">
        <f>SUM(G22:G42)</f>
        <v>0</v>
      </c>
      <c r="H43" s="94">
        <f t="shared" ref="H43:J43" si="4">SUM(H22:H42)</f>
        <v>0</v>
      </c>
      <c r="I43" s="94">
        <f t="shared" si="4"/>
        <v>0</v>
      </c>
      <c r="J43" s="292">
        <f t="shared" si="4"/>
        <v>1025585.8</v>
      </c>
      <c r="K43" s="166">
        <f t="shared" si="1"/>
        <v>1025585.8</v>
      </c>
      <c r="L43" s="109">
        <v>27800</v>
      </c>
      <c r="M43" s="46"/>
    </row>
    <row r="44" spans="1:13" ht="18" customHeight="1">
      <c r="A44" s="84" t="s">
        <v>103</v>
      </c>
      <c r="B44" s="63"/>
      <c r="C44" s="63"/>
      <c r="D44" s="63"/>
      <c r="E44" s="103">
        <f>'DRRM Funds -Feb''17 '!E45</f>
        <v>0</v>
      </c>
      <c r="F44" s="103">
        <f>'DRRM Funds -Feb''17 '!F45</f>
        <v>1163182.4899999998</v>
      </c>
      <c r="G44" s="103">
        <f>'DRRM Funds -Feb''17 '!G45</f>
        <v>0</v>
      </c>
      <c r="H44" s="103">
        <f>'DRRM Funds -Feb''17 '!H45</f>
        <v>0</v>
      </c>
      <c r="I44" s="103">
        <f>'DRRM Funds -Feb''17 '!I45</f>
        <v>0</v>
      </c>
      <c r="J44" s="103">
        <f>'DRRM Funds -Feb''17 '!J45</f>
        <v>1163182.4899999998</v>
      </c>
      <c r="K44" s="166">
        <f t="shared" si="1"/>
        <v>1163182.4899999998</v>
      </c>
      <c r="L44" s="109">
        <v>126865</v>
      </c>
      <c r="M44" s="109">
        <f>SUM(E44:H44)</f>
        <v>1163182.4899999998</v>
      </c>
    </row>
    <row r="45" spans="1:13" ht="18" customHeight="1">
      <c r="A45" s="84" t="s">
        <v>104</v>
      </c>
      <c r="B45" s="63"/>
      <c r="C45" s="63"/>
      <c r="D45" s="63"/>
      <c r="E45" s="103">
        <f>SUM(E43:E44)</f>
        <v>0</v>
      </c>
      <c r="F45" s="103">
        <f t="shared" ref="F45:J45" si="5">SUM(F43:F44)</f>
        <v>2188768.29</v>
      </c>
      <c r="G45" s="103">
        <f t="shared" si="5"/>
        <v>0</v>
      </c>
      <c r="H45" s="103">
        <f t="shared" si="5"/>
        <v>0</v>
      </c>
      <c r="I45" s="103">
        <f t="shared" si="5"/>
        <v>0</v>
      </c>
      <c r="J45" s="103">
        <f t="shared" si="5"/>
        <v>2188768.29</v>
      </c>
      <c r="K45" s="166">
        <f t="shared" si="1"/>
        <v>2188768.29</v>
      </c>
      <c r="L45" s="174">
        <f>SUM(L35:L44)</f>
        <v>2321225</v>
      </c>
      <c r="M45" s="109">
        <v>10492358.970000001</v>
      </c>
    </row>
    <row r="46" spans="1:13" ht="18" customHeight="1">
      <c r="A46" s="70" t="s">
        <v>93</v>
      </c>
      <c r="B46" s="72"/>
      <c r="C46" s="72"/>
      <c r="D46" s="80"/>
      <c r="E46" s="231">
        <f t="shared" ref="E46:J46" si="6">E20-E43</f>
        <v>35703329.868749999</v>
      </c>
      <c r="F46" s="231">
        <f t="shared" si="6"/>
        <v>31821094.003749996</v>
      </c>
      <c r="G46" s="231">
        <f t="shared" si="6"/>
        <v>0</v>
      </c>
      <c r="H46" s="231">
        <f t="shared" si="6"/>
        <v>0</v>
      </c>
      <c r="I46" s="231">
        <f t="shared" si="6"/>
        <v>0</v>
      </c>
      <c r="J46" s="378">
        <f t="shared" si="6"/>
        <v>67524423.872500017</v>
      </c>
      <c r="K46" s="166">
        <f>SUM(E46:I46)</f>
        <v>67524423.872500002</v>
      </c>
      <c r="L46" s="46"/>
      <c r="M46" s="109">
        <f>M45-L45</f>
        <v>8171133.9700000007</v>
      </c>
    </row>
    <row r="47" spans="1:13" ht="18" customHeight="1">
      <c r="A47" s="55"/>
      <c r="B47" s="55"/>
      <c r="C47" s="55"/>
      <c r="D47" s="55"/>
      <c r="E47" s="55"/>
      <c r="F47" s="55"/>
      <c r="G47" s="55"/>
      <c r="H47" s="55"/>
      <c r="I47" s="55"/>
      <c r="J47" s="115" t="s">
        <v>74</v>
      </c>
      <c r="K47" s="92">
        <f>SUM(E46:F46)</f>
        <v>67524423.872500002</v>
      </c>
      <c r="M47" s="109">
        <v>0</v>
      </c>
    </row>
    <row r="48" spans="1:13">
      <c r="A48" s="55" t="s">
        <v>83</v>
      </c>
      <c r="B48" s="55"/>
      <c r="C48" s="55"/>
      <c r="D48" s="55"/>
      <c r="E48" s="55"/>
      <c r="F48" s="55"/>
      <c r="G48" s="55"/>
      <c r="H48" s="55" t="s">
        <v>29</v>
      </c>
      <c r="I48" s="55"/>
      <c r="J48" s="115"/>
      <c r="K48" s="55"/>
      <c r="L48" s="109">
        <v>752760</v>
      </c>
    </row>
    <row r="49" spans="1:13">
      <c r="A49" s="55"/>
      <c r="B49" s="55"/>
      <c r="C49" s="55"/>
      <c r="D49" s="55"/>
      <c r="E49" s="55"/>
      <c r="F49" s="55"/>
      <c r="G49" s="55"/>
      <c r="H49" s="55"/>
      <c r="I49" s="55"/>
      <c r="J49" s="115"/>
      <c r="K49" s="55"/>
      <c r="L49" s="109">
        <v>902075</v>
      </c>
    </row>
    <row r="50" spans="1:13">
      <c r="A50" s="82" t="s">
        <v>202</v>
      </c>
      <c r="B50" s="55"/>
      <c r="C50" s="55"/>
      <c r="D50" s="55"/>
      <c r="E50" s="55"/>
      <c r="F50" s="55"/>
      <c r="G50" s="55"/>
      <c r="K50" s="55"/>
      <c r="L50" s="109">
        <v>504234.65</v>
      </c>
      <c r="M50" s="109">
        <v>8736531.7100000009</v>
      </c>
    </row>
    <row r="51" spans="1:13">
      <c r="A51" s="140" t="s">
        <v>287</v>
      </c>
      <c r="B51" s="55"/>
      <c r="C51" s="55"/>
      <c r="D51" s="55"/>
      <c r="E51" s="121" t="s">
        <v>237</v>
      </c>
      <c r="F51" s="55"/>
      <c r="G51" s="55"/>
      <c r="H51" s="241" t="s">
        <v>72</v>
      </c>
      <c r="I51" s="55"/>
      <c r="J51" s="115"/>
      <c r="K51" s="55"/>
      <c r="L51" s="109">
        <v>899145</v>
      </c>
      <c r="M51" s="109">
        <v>10140</v>
      </c>
    </row>
    <row r="52" spans="1:13">
      <c r="A52" s="55"/>
      <c r="B52" s="55"/>
      <c r="C52" s="55"/>
      <c r="D52" s="55"/>
      <c r="G52" s="55"/>
      <c r="H52" s="140" t="s">
        <v>85</v>
      </c>
      <c r="I52" s="55"/>
      <c r="J52" s="115"/>
      <c r="K52" s="55"/>
      <c r="L52" s="109">
        <v>1087927.3999999999</v>
      </c>
      <c r="M52" s="109">
        <f>SUM(M50:M51)</f>
        <v>8746671.7100000009</v>
      </c>
    </row>
    <row r="53" spans="1:13">
      <c r="A53" s="55"/>
      <c r="B53" s="55"/>
      <c r="C53" s="55"/>
      <c r="D53" s="55"/>
      <c r="E53" s="115"/>
      <c r="F53" s="55"/>
      <c r="G53" s="55"/>
      <c r="H53" s="55"/>
      <c r="I53" s="115"/>
      <c r="J53" s="115"/>
      <c r="K53" s="55"/>
      <c r="L53" s="109">
        <v>2896515.5</v>
      </c>
    </row>
    <row r="54" spans="1:13">
      <c r="A54" s="55"/>
      <c r="B54" s="55"/>
      <c r="C54" s="55"/>
      <c r="D54" s="55"/>
      <c r="E54" s="82" t="s">
        <v>298</v>
      </c>
      <c r="F54" s="55"/>
      <c r="G54" s="55"/>
      <c r="H54" s="55"/>
      <c r="I54" s="115"/>
      <c r="J54" s="115"/>
      <c r="K54" s="55"/>
    </row>
    <row r="55" spans="1:13">
      <c r="A55" s="55"/>
      <c r="B55" s="55"/>
      <c r="C55" s="55"/>
      <c r="D55" s="55"/>
      <c r="E55" s="55" t="s">
        <v>299</v>
      </c>
      <c r="F55" s="55"/>
      <c r="G55" s="55"/>
      <c r="H55" s="55"/>
      <c r="I55" s="115"/>
      <c r="J55" s="115"/>
      <c r="K55" s="55"/>
      <c r="L55" s="109">
        <v>120000</v>
      </c>
    </row>
    <row r="56" spans="1:13">
      <c r="I56" s="109"/>
      <c r="M56" s="46"/>
    </row>
    <row r="57" spans="1:13">
      <c r="F57" s="121"/>
      <c r="I57" s="109"/>
      <c r="K57" s="55"/>
      <c r="L57" s="115">
        <v>630000</v>
      </c>
      <c r="M57" s="183">
        <v>10644424.82</v>
      </c>
    </row>
    <row r="58" spans="1:13">
      <c r="B58" s="276" t="s">
        <v>236</v>
      </c>
      <c r="F58" s="115"/>
      <c r="I58" s="109"/>
      <c r="J58" s="109">
        <v>7850000</v>
      </c>
      <c r="L58" s="109">
        <v>1000000</v>
      </c>
      <c r="M58" s="183">
        <v>13157941.960000001</v>
      </c>
    </row>
    <row r="59" spans="1:13">
      <c r="I59" s="109"/>
      <c r="J59" s="109">
        <v>800000</v>
      </c>
      <c r="L59" s="109">
        <v>1300000</v>
      </c>
      <c r="M59" s="184">
        <v>0</v>
      </c>
    </row>
    <row r="60" spans="1:13">
      <c r="A60" s="46" t="s">
        <v>282</v>
      </c>
      <c r="B60" s="392">
        <f>1493800+99900</f>
        <v>1593700</v>
      </c>
      <c r="C60" s="392"/>
      <c r="I60" s="109"/>
      <c r="J60" s="109">
        <v>1200000</v>
      </c>
      <c r="L60" s="109">
        <v>2000000</v>
      </c>
      <c r="M60" s="183">
        <f>SUM(M57:M59)</f>
        <v>23802366.780000001</v>
      </c>
    </row>
    <row r="61" spans="1:13">
      <c r="A61" s="46" t="s">
        <v>281</v>
      </c>
      <c r="B61" s="392">
        <v>1400000</v>
      </c>
      <c r="C61" s="392"/>
      <c r="I61" s="109"/>
      <c r="J61" s="109">
        <v>3500000</v>
      </c>
      <c r="L61" s="109">
        <v>150000</v>
      </c>
      <c r="M61" s="183">
        <v>24092226.780000001</v>
      </c>
    </row>
    <row r="62" spans="1:13">
      <c r="A62" s="46" t="s">
        <v>258</v>
      </c>
      <c r="B62" s="393">
        <v>1975000</v>
      </c>
      <c r="C62" s="393"/>
      <c r="I62" s="109">
        <v>100000</v>
      </c>
      <c r="J62" s="116">
        <f>SUM(J58:J61)</f>
        <v>13350000</v>
      </c>
      <c r="L62" s="109">
        <v>4590281.96</v>
      </c>
      <c r="M62" s="183">
        <f>M61-M60</f>
        <v>289860</v>
      </c>
    </row>
    <row r="63" spans="1:13">
      <c r="A63" s="46" t="s">
        <v>283</v>
      </c>
      <c r="B63" s="387">
        <v>1214184.3500000001</v>
      </c>
      <c r="C63" s="387"/>
      <c r="I63" s="109">
        <v>4589687.1100000003</v>
      </c>
      <c r="J63" s="109">
        <v>16829861.079999998</v>
      </c>
      <c r="L63" s="109">
        <f>SUM(L57:L62)</f>
        <v>9670281.9600000009</v>
      </c>
      <c r="M63" s="46"/>
    </row>
    <row r="64" spans="1:13">
      <c r="B64" s="388">
        <f>SUM(B60:C63)</f>
        <v>6182884.3499999996</v>
      </c>
      <c r="C64" s="388"/>
      <c r="I64" s="116">
        <f>SUM(I58:I63)</f>
        <v>4689687.1100000003</v>
      </c>
      <c r="J64" s="109">
        <f>J62-J63</f>
        <v>-3479861.0799999982</v>
      </c>
      <c r="M64" s="109">
        <v>24416573.030000001</v>
      </c>
    </row>
    <row r="65" spans="1:13">
      <c r="I65" s="109">
        <v>7212797.6100000003</v>
      </c>
      <c r="M65" s="109">
        <v>24708913.030000001</v>
      </c>
    </row>
    <row r="66" spans="1:13">
      <c r="I66" s="109">
        <f>I64-I65</f>
        <v>-2523110.5</v>
      </c>
      <c r="M66" s="109">
        <f>M64-M65</f>
        <v>-292340</v>
      </c>
    </row>
    <row r="67" spans="1:13">
      <c r="I67" s="109"/>
      <c r="M67" s="109">
        <v>289860</v>
      </c>
    </row>
    <row r="68" spans="1:13">
      <c r="I68" s="109"/>
      <c r="J68" s="109">
        <v>25346381.800000001</v>
      </c>
      <c r="M68" s="173">
        <f>SUM(M66:M67)</f>
        <v>-2480</v>
      </c>
    </row>
    <row r="69" spans="1:13">
      <c r="I69" s="109"/>
      <c r="J69" s="109">
        <v>24042658.690000001</v>
      </c>
      <c r="M69" s="46"/>
    </row>
    <row r="70" spans="1:13">
      <c r="I70" s="109"/>
      <c r="J70" s="109">
        <f>J68-J69</f>
        <v>1303723.1099999994</v>
      </c>
      <c r="L70" s="109">
        <v>400000</v>
      </c>
      <c r="M70" s="46"/>
    </row>
    <row r="71" spans="1:13">
      <c r="I71" s="109"/>
      <c r="L71" s="109">
        <v>1000000</v>
      </c>
      <c r="M71" s="109">
        <v>25279.7</v>
      </c>
    </row>
    <row r="72" spans="1:13">
      <c r="I72" s="109"/>
      <c r="M72" s="109">
        <v>27759.7</v>
      </c>
    </row>
    <row r="73" spans="1:13">
      <c r="H73" s="109"/>
      <c r="I73" s="109"/>
      <c r="M73" s="173">
        <f>M71-M72</f>
        <v>-2480</v>
      </c>
    </row>
    <row r="74" spans="1:13">
      <c r="H74" s="109">
        <v>4455551.57</v>
      </c>
      <c r="I74" s="109"/>
      <c r="J74" s="109">
        <v>17496381.800000001</v>
      </c>
      <c r="M74" s="46"/>
    </row>
    <row r="75" spans="1:13">
      <c r="H75" s="109">
        <v>5760963.6399999997</v>
      </c>
      <c r="I75" s="109"/>
      <c r="J75" s="109">
        <v>7850000</v>
      </c>
      <c r="M75" s="46"/>
    </row>
    <row r="76" spans="1:13">
      <c r="H76" s="109">
        <f>SUM(H74:H75)</f>
        <v>10216515.210000001</v>
      </c>
      <c r="I76" s="109"/>
      <c r="J76" s="109">
        <f>SUM(J74:J75)</f>
        <v>25346381.800000001</v>
      </c>
      <c r="M76" s="46"/>
    </row>
    <row r="77" spans="1:13" s="109" customFormat="1">
      <c r="A77" s="46"/>
      <c r="B77" s="46"/>
      <c r="C77" s="46"/>
      <c r="D77" s="46"/>
      <c r="E77" s="46"/>
      <c r="F77" s="46"/>
      <c r="G77" s="46"/>
    </row>
    <row r="78" spans="1:13" s="109" customFormat="1">
      <c r="A78" s="46"/>
      <c r="B78" s="46"/>
      <c r="C78" s="46"/>
      <c r="D78" s="46"/>
      <c r="E78" s="46"/>
      <c r="F78" s="46"/>
      <c r="G78" s="46"/>
    </row>
    <row r="79" spans="1:13" s="109" customFormat="1">
      <c r="A79" s="46"/>
      <c r="B79" s="46"/>
      <c r="C79" s="46"/>
      <c r="D79" s="46"/>
      <c r="E79" s="46"/>
      <c r="F79" s="46"/>
      <c r="G79" s="46"/>
    </row>
    <row r="80" spans="1:13" s="109" customFormat="1">
      <c r="A80" s="46"/>
      <c r="B80" s="46"/>
      <c r="C80" s="46"/>
      <c r="D80" s="46"/>
      <c r="E80" s="46"/>
      <c r="F80" s="46"/>
      <c r="G80" s="46"/>
    </row>
    <row r="81" spans="1:11" s="109" customFormat="1">
      <c r="A81" s="46"/>
      <c r="B81" s="46"/>
      <c r="C81" s="46"/>
      <c r="D81" s="46"/>
      <c r="E81" s="46"/>
      <c r="F81" s="46"/>
      <c r="G81" s="46"/>
    </row>
    <row r="82" spans="1:11" s="109" customFormat="1">
      <c r="A82" s="46"/>
      <c r="B82" s="46"/>
      <c r="C82" s="46"/>
      <c r="D82" s="46"/>
      <c r="E82" s="46"/>
      <c r="F82" s="46"/>
      <c r="G82" s="46"/>
    </row>
    <row r="83" spans="1:11" s="109" customFormat="1">
      <c r="A83" s="46"/>
      <c r="B83" s="46"/>
      <c r="C83" s="46"/>
      <c r="D83" s="46"/>
      <c r="E83" s="46"/>
      <c r="F83" s="46"/>
      <c r="G83" s="46"/>
      <c r="H83" s="46"/>
    </row>
    <row r="84" spans="1:11" s="109" customFormat="1">
      <c r="A84" s="46"/>
      <c r="B84" s="46"/>
      <c r="C84" s="46"/>
      <c r="D84" s="46"/>
      <c r="E84" s="46"/>
      <c r="F84" s="46"/>
      <c r="G84" s="46"/>
      <c r="H84" s="46"/>
    </row>
    <row r="85" spans="1:11" s="109" customFormat="1">
      <c r="A85" s="46"/>
      <c r="B85" s="46"/>
      <c r="C85" s="46"/>
      <c r="D85" s="46"/>
      <c r="E85" s="46"/>
      <c r="F85" s="46"/>
      <c r="G85" s="46"/>
      <c r="H85" s="46"/>
    </row>
    <row r="86" spans="1:11" s="109" customFormat="1">
      <c r="A86" s="46"/>
      <c r="B86" s="46"/>
      <c r="C86" s="46"/>
      <c r="D86" s="46"/>
      <c r="E86" s="46"/>
      <c r="F86" s="46"/>
      <c r="G86" s="46"/>
      <c r="H86" s="46"/>
    </row>
    <row r="87" spans="1:11" s="109" customFormat="1">
      <c r="A87" s="46"/>
      <c r="B87" s="46"/>
      <c r="C87" s="46"/>
      <c r="D87" s="46"/>
      <c r="E87" s="46"/>
      <c r="F87" s="46"/>
      <c r="G87" s="46"/>
      <c r="H87" s="46"/>
      <c r="K87" s="46"/>
    </row>
    <row r="88" spans="1:11" s="109" customFormat="1">
      <c r="A88" s="46"/>
      <c r="B88" s="46"/>
      <c r="C88" s="46"/>
      <c r="D88" s="46"/>
      <c r="E88" s="46"/>
      <c r="F88" s="46"/>
      <c r="G88" s="46"/>
      <c r="H88" s="46"/>
      <c r="K88" s="46"/>
    </row>
    <row r="89" spans="1:11" s="109" customFormat="1">
      <c r="A89" s="46"/>
      <c r="B89" s="46"/>
      <c r="C89" s="46"/>
      <c r="D89" s="46"/>
      <c r="E89" s="46"/>
      <c r="F89" s="46"/>
      <c r="G89" s="46"/>
      <c r="H89" s="46"/>
      <c r="K89" s="46"/>
    </row>
    <row r="90" spans="1:11" s="109" customFormat="1">
      <c r="A90" s="46"/>
      <c r="B90" s="46"/>
      <c r="C90" s="46"/>
      <c r="D90" s="46"/>
      <c r="E90" s="46"/>
      <c r="F90" s="46"/>
      <c r="G90" s="46"/>
      <c r="H90" s="46"/>
      <c r="K90" s="46"/>
    </row>
    <row r="91" spans="1:11" s="109" customFormat="1">
      <c r="A91" s="46"/>
      <c r="B91" s="46"/>
      <c r="C91" s="46"/>
      <c r="D91" s="46"/>
      <c r="E91" s="46"/>
      <c r="F91" s="46"/>
      <c r="G91" s="46"/>
      <c r="H91" s="46"/>
      <c r="K91" s="46"/>
    </row>
    <row r="92" spans="1:11" s="109" customFormat="1">
      <c r="A92" s="46"/>
      <c r="B92" s="46"/>
      <c r="C92" s="46"/>
      <c r="D92" s="46"/>
      <c r="E92" s="46"/>
      <c r="F92" s="46"/>
      <c r="G92" s="46"/>
      <c r="H92" s="46"/>
      <c r="K92" s="46"/>
    </row>
    <row r="93" spans="1:11" s="109" customFormat="1">
      <c r="A93" s="46"/>
      <c r="B93" s="46"/>
      <c r="C93" s="46"/>
      <c r="D93" s="46"/>
      <c r="E93" s="46"/>
      <c r="F93" s="46"/>
      <c r="G93" s="46"/>
      <c r="H93" s="46"/>
      <c r="K93" s="46"/>
    </row>
    <row r="94" spans="1:11" s="109" customFormat="1">
      <c r="A94" s="46"/>
      <c r="B94" s="46"/>
      <c r="C94" s="46"/>
      <c r="D94" s="46"/>
      <c r="E94" s="46"/>
      <c r="F94" s="46"/>
      <c r="G94" s="46"/>
      <c r="H94" s="46"/>
      <c r="K94" s="46"/>
    </row>
    <row r="95" spans="1:11" s="109" customFormat="1">
      <c r="A95" s="46"/>
      <c r="B95" s="46"/>
      <c r="C95" s="46"/>
      <c r="D95" s="46"/>
      <c r="E95" s="46"/>
      <c r="F95" s="46"/>
      <c r="G95" s="46"/>
      <c r="H95" s="46"/>
      <c r="K95" s="46"/>
    </row>
    <row r="96" spans="1:11" s="109" customFormat="1">
      <c r="A96" s="46"/>
      <c r="B96" s="46"/>
      <c r="C96" s="46"/>
      <c r="D96" s="46"/>
      <c r="E96" s="46"/>
      <c r="F96" s="46"/>
      <c r="G96" s="46"/>
      <c r="H96" s="46"/>
      <c r="K96" s="46"/>
    </row>
    <row r="97" spans="1:11" s="109" customFormat="1">
      <c r="A97" s="46"/>
      <c r="B97" s="46"/>
      <c r="C97" s="46"/>
      <c r="D97" s="46"/>
      <c r="E97" s="46"/>
      <c r="F97" s="46"/>
      <c r="G97" s="46"/>
      <c r="H97" s="46"/>
      <c r="K97" s="46"/>
    </row>
    <row r="98" spans="1:11" s="109" customFormat="1">
      <c r="A98" s="46"/>
      <c r="B98" s="46"/>
      <c r="C98" s="46"/>
      <c r="D98" s="46"/>
      <c r="E98" s="46"/>
      <c r="F98" s="46"/>
      <c r="G98" s="46"/>
      <c r="H98" s="46"/>
      <c r="K98" s="46"/>
    </row>
    <row r="99" spans="1:11" s="109" customFormat="1">
      <c r="A99" s="46"/>
      <c r="B99" s="46"/>
      <c r="C99" s="46"/>
      <c r="D99" s="46"/>
      <c r="E99" s="46"/>
      <c r="F99" s="46"/>
      <c r="G99" s="46"/>
      <c r="H99" s="46"/>
      <c r="K99" s="46"/>
    </row>
  </sheetData>
  <mergeCells count="8">
    <mergeCell ref="B63:C63"/>
    <mergeCell ref="B64:C64"/>
    <mergeCell ref="A2:J2"/>
    <mergeCell ref="A3:J3"/>
    <mergeCell ref="A4:J4"/>
    <mergeCell ref="B60:C60"/>
    <mergeCell ref="B61:C61"/>
    <mergeCell ref="B62:C62"/>
  </mergeCells>
  <printOptions horizontalCentered="1"/>
  <pageMargins left="0.02" right="0.15" top="0.39" bottom="0.1" header="0.21" footer="0.1"/>
  <pageSetup scale="84" orientation="portrait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N99"/>
  <sheetViews>
    <sheetView topLeftCell="A10" workbookViewId="0">
      <selection activeCell="E19" sqref="E19"/>
    </sheetView>
  </sheetViews>
  <sheetFormatPr defaultRowHeight="12.75"/>
  <cols>
    <col min="1" max="1" width="6" style="46" customWidth="1"/>
    <col min="2" max="3" width="9.140625" style="46"/>
    <col min="4" max="4" width="16.5703125" style="46" customWidth="1"/>
    <col min="5" max="6" width="13.85546875" style="46" customWidth="1"/>
    <col min="7" max="7" width="10" style="46" customWidth="1"/>
    <col min="8" max="8" width="11.5703125" style="46" customWidth="1"/>
    <col min="9" max="9" width="11.42578125" style="46" customWidth="1"/>
    <col min="10" max="10" width="13.28515625" style="109" customWidth="1"/>
    <col min="11" max="11" width="15.7109375" style="46" customWidth="1"/>
    <col min="12" max="12" width="16.85546875" style="109" customWidth="1"/>
    <col min="13" max="13" width="17" style="109" customWidth="1"/>
    <col min="14" max="14" width="17" style="46" customWidth="1"/>
    <col min="15" max="16384" width="9.140625" style="46"/>
  </cols>
  <sheetData>
    <row r="1" spans="1:13">
      <c r="A1" s="47"/>
      <c r="B1" s="48"/>
      <c r="C1" s="48"/>
      <c r="D1" s="48"/>
      <c r="E1" s="48"/>
      <c r="F1" s="48"/>
      <c r="G1" s="48"/>
      <c r="H1" s="48"/>
      <c r="I1" s="48"/>
      <c r="J1" s="169" t="s">
        <v>81</v>
      </c>
    </row>
    <row r="2" spans="1:13">
      <c r="A2" s="389" t="s">
        <v>80</v>
      </c>
      <c r="B2" s="390"/>
      <c r="C2" s="390"/>
      <c r="D2" s="390"/>
      <c r="E2" s="390"/>
      <c r="F2" s="390"/>
      <c r="G2" s="390"/>
      <c r="H2" s="390"/>
      <c r="I2" s="390"/>
      <c r="J2" s="391"/>
    </row>
    <row r="3" spans="1:13">
      <c r="A3" s="389" t="s">
        <v>305</v>
      </c>
      <c r="B3" s="390"/>
      <c r="C3" s="390"/>
      <c r="D3" s="390"/>
      <c r="E3" s="390"/>
      <c r="F3" s="390"/>
      <c r="G3" s="390"/>
      <c r="H3" s="390"/>
      <c r="I3" s="390"/>
      <c r="J3" s="391"/>
    </row>
    <row r="4" spans="1:13">
      <c r="A4" s="389"/>
      <c r="B4" s="390"/>
      <c r="C4" s="390"/>
      <c r="D4" s="390"/>
      <c r="E4" s="390"/>
      <c r="F4" s="390"/>
      <c r="G4" s="390"/>
      <c r="H4" s="390"/>
      <c r="I4" s="390"/>
      <c r="J4" s="391"/>
    </row>
    <row r="5" spans="1:13">
      <c r="A5" s="54" t="s">
        <v>77</v>
      </c>
      <c r="B5" s="328"/>
      <c r="C5" s="328"/>
      <c r="D5" s="328"/>
      <c r="E5" s="328"/>
      <c r="F5" s="328"/>
      <c r="G5" s="328"/>
      <c r="H5" s="328"/>
      <c r="I5" s="328"/>
      <c r="J5" s="170"/>
    </row>
    <row r="6" spans="1:13">
      <c r="A6" s="54" t="s">
        <v>76</v>
      </c>
      <c r="B6" s="55"/>
      <c r="C6" s="55"/>
      <c r="D6" s="55"/>
      <c r="E6" s="55"/>
      <c r="F6" s="55"/>
      <c r="G6" s="55"/>
      <c r="H6" s="55" t="s">
        <v>278</v>
      </c>
      <c r="I6" s="55"/>
      <c r="J6" s="171"/>
      <c r="K6" s="46" t="s">
        <v>210</v>
      </c>
    </row>
    <row r="7" spans="1:13">
      <c r="A7" s="47"/>
      <c r="B7" s="48"/>
      <c r="C7" s="48"/>
      <c r="D7" s="49"/>
      <c r="E7" s="88" t="s">
        <v>8</v>
      </c>
      <c r="F7" s="50"/>
      <c r="G7" s="52"/>
      <c r="H7" s="52"/>
      <c r="I7" s="53"/>
      <c r="J7" s="110"/>
    </row>
    <row r="8" spans="1:13">
      <c r="A8" s="54"/>
      <c r="B8" s="55"/>
      <c r="C8" s="55"/>
      <c r="D8" s="56"/>
      <c r="E8" s="327" t="s">
        <v>9</v>
      </c>
      <c r="F8" s="53"/>
      <c r="G8" s="59"/>
      <c r="H8" s="59"/>
      <c r="I8" s="58"/>
      <c r="J8" s="111"/>
    </row>
    <row r="9" spans="1:13">
      <c r="A9" s="61" t="s">
        <v>68</v>
      </c>
      <c r="B9" s="55"/>
      <c r="C9" s="55"/>
      <c r="D9" s="56"/>
      <c r="E9" s="327" t="s">
        <v>10</v>
      </c>
      <c r="F9" s="60" t="s">
        <v>12</v>
      </c>
      <c r="G9" s="60" t="s">
        <v>14</v>
      </c>
      <c r="H9" s="60" t="s">
        <v>20</v>
      </c>
      <c r="I9" s="60" t="s">
        <v>22</v>
      </c>
      <c r="J9" s="112" t="s">
        <v>24</v>
      </c>
    </row>
    <row r="10" spans="1:13">
      <c r="A10" s="54"/>
      <c r="B10" s="55"/>
      <c r="C10" s="55"/>
      <c r="D10" s="56"/>
      <c r="E10" s="327" t="s">
        <v>11</v>
      </c>
      <c r="F10" s="60" t="s">
        <v>13</v>
      </c>
      <c r="G10" s="59"/>
      <c r="H10" s="60" t="s">
        <v>21</v>
      </c>
      <c r="I10" s="60" t="s">
        <v>23</v>
      </c>
      <c r="J10" s="111"/>
    </row>
    <row r="11" spans="1:13">
      <c r="A11" s="62"/>
      <c r="B11" s="63"/>
      <c r="C11" s="63"/>
      <c r="D11" s="64"/>
      <c r="E11" s="65">
        <v>0.3</v>
      </c>
      <c r="F11" s="66">
        <v>0.7</v>
      </c>
      <c r="G11" s="59"/>
      <c r="H11" s="67"/>
      <c r="I11" s="68"/>
      <c r="J11" s="113"/>
    </row>
    <row r="12" spans="1:13" ht="18" customHeight="1">
      <c r="A12" s="70" t="s">
        <v>0</v>
      </c>
      <c r="B12" s="71"/>
      <c r="C12" s="71"/>
      <c r="D12" s="72"/>
      <c r="E12" s="51"/>
      <c r="F12" s="51"/>
      <c r="G12" s="51"/>
      <c r="H12" s="51"/>
      <c r="I12" s="51"/>
      <c r="J12" s="110"/>
      <c r="L12" s="326" t="s">
        <v>90</v>
      </c>
      <c r="M12" s="326" t="s">
        <v>89</v>
      </c>
    </row>
    <row r="13" spans="1:13" ht="18" customHeight="1">
      <c r="A13" s="73" t="s">
        <v>1</v>
      </c>
      <c r="B13" s="72"/>
      <c r="C13" s="72"/>
      <c r="D13" s="72"/>
      <c r="E13" s="94">
        <f>M19*0.3</f>
        <v>614251.58040000021</v>
      </c>
      <c r="F13" s="94">
        <f>M19*0.7</f>
        <v>1433253.6876000005</v>
      </c>
      <c r="G13" s="94"/>
      <c r="H13" s="94"/>
      <c r="I13" s="94"/>
      <c r="J13" s="114">
        <f>SUM(E13:I13)</f>
        <v>2047505.2680000006</v>
      </c>
      <c r="K13" s="175" t="e">
        <f>SUM(J13+#REF!+#REF!+#REF!+#REF!+#REF!+#REF!+#REF!+#REF!+#REF!+#REF!+#REF!)</f>
        <v>#REF!</v>
      </c>
      <c r="L13" s="109">
        <v>21367644.399999999</v>
      </c>
      <c r="M13" s="109">
        <v>4171566.4</v>
      </c>
    </row>
    <row r="14" spans="1:13" ht="18" customHeight="1">
      <c r="A14" s="73" t="s">
        <v>2</v>
      </c>
      <c r="B14" s="72"/>
      <c r="C14" s="72"/>
      <c r="D14" s="72"/>
      <c r="E14" s="102"/>
      <c r="F14" s="102"/>
      <c r="G14" s="102"/>
      <c r="H14" s="102"/>
      <c r="I14" s="102"/>
      <c r="J14" s="110"/>
      <c r="K14" s="117" t="s">
        <v>88</v>
      </c>
      <c r="L14" s="109">
        <v>9400000</v>
      </c>
      <c r="M14" s="109">
        <v>5637398.9699999997</v>
      </c>
    </row>
    <row r="15" spans="1:13" ht="18" customHeight="1">
      <c r="A15" s="75" t="s">
        <v>3</v>
      </c>
      <c r="B15" s="48"/>
      <c r="C15" s="48"/>
      <c r="D15" s="48"/>
      <c r="E15" s="102"/>
      <c r="F15" s="102"/>
      <c r="G15" s="102"/>
      <c r="H15" s="102"/>
      <c r="I15" s="102"/>
      <c r="J15" s="110"/>
      <c r="L15" s="116">
        <f>SUM(L13:L14)</f>
        <v>30767644.399999999</v>
      </c>
      <c r="M15" s="116">
        <f>SUM(M13:M14)</f>
        <v>9808965.3699999992</v>
      </c>
    </row>
    <row r="16" spans="1:13" ht="18" customHeight="1">
      <c r="A16" s="76" t="s">
        <v>78</v>
      </c>
      <c r="B16" s="55"/>
      <c r="C16" s="55"/>
      <c r="D16" s="55"/>
      <c r="E16" s="103"/>
      <c r="F16" s="103"/>
      <c r="G16" s="103"/>
      <c r="H16" s="103"/>
      <c r="I16" s="103"/>
      <c r="J16" s="113"/>
      <c r="K16" s="46">
        <v>11930281.960000001</v>
      </c>
    </row>
    <row r="17" spans="1:14" ht="18" customHeight="1">
      <c r="A17" s="77" t="s">
        <v>79</v>
      </c>
      <c r="B17" s="72"/>
      <c r="C17" s="72"/>
      <c r="D17" s="72"/>
      <c r="E17" s="94"/>
      <c r="F17" s="94"/>
      <c r="G17" s="94"/>
      <c r="H17" s="94"/>
      <c r="I17" s="94"/>
      <c r="J17" s="113">
        <f>SUM(E17:I17)</f>
        <v>0</v>
      </c>
      <c r="K17" s="173">
        <f>K16-J16</f>
        <v>11930281.960000001</v>
      </c>
      <c r="M17" s="109">
        <v>25936573.030000001</v>
      </c>
    </row>
    <row r="18" spans="1:14" ht="18" customHeight="1">
      <c r="A18" s="70" t="s">
        <v>7</v>
      </c>
      <c r="B18" s="72"/>
      <c r="C18" s="72"/>
      <c r="D18" s="72"/>
      <c r="E18" s="119">
        <f>SUM(E13:E17)</f>
        <v>614251.58040000021</v>
      </c>
      <c r="F18" s="119">
        <f t="shared" ref="F18:J18" si="0">SUM(F13:F17)</f>
        <v>1433253.6876000005</v>
      </c>
      <c r="G18" s="119">
        <f t="shared" si="0"/>
        <v>0</v>
      </c>
      <c r="H18" s="119">
        <f t="shared" si="0"/>
        <v>0</v>
      </c>
      <c r="I18" s="119">
        <f t="shared" si="0"/>
        <v>0</v>
      </c>
      <c r="J18" s="305">
        <f t="shared" si="0"/>
        <v>2047505.2680000006</v>
      </c>
      <c r="K18" s="166">
        <f t="shared" ref="K18:K45" si="1">SUM(E18:I18)</f>
        <v>2047505.2680000006</v>
      </c>
      <c r="L18" s="193" t="s">
        <v>171</v>
      </c>
      <c r="M18" s="192">
        <f>678339326.79-637389221.43</f>
        <v>40950105.360000014</v>
      </c>
    </row>
    <row r="19" spans="1:14" s="109" customFormat="1" ht="18" customHeight="1">
      <c r="A19" s="74" t="s">
        <v>99</v>
      </c>
      <c r="B19" s="72" t="s">
        <v>100</v>
      </c>
      <c r="C19" s="72"/>
      <c r="D19" s="72"/>
      <c r="E19" s="94">
        <f>SUM('DRRM Funds -Oct''16'!E46)</f>
        <v>31254936.461449999</v>
      </c>
      <c r="F19" s="94">
        <f>SUM('DRRM Funds -Oct''16'!F46)</f>
        <v>31372189.150049999</v>
      </c>
      <c r="G19" s="94">
        <f>SUM('DRRM Funds -Oct''16'!G46)</f>
        <v>0</v>
      </c>
      <c r="H19" s="94">
        <f>SUM('DRRM Funds -Oct''16'!H46)</f>
        <v>0</v>
      </c>
      <c r="I19" s="94">
        <f>SUM('DRRM Funds -Oct''16'!I46)</f>
        <v>0</v>
      </c>
      <c r="J19" s="94">
        <f>SUM('DRRM Funds -Oct''16'!J46)</f>
        <v>62627125.611499995</v>
      </c>
      <c r="K19" s="166">
        <f t="shared" si="1"/>
        <v>62627125.611499995</v>
      </c>
      <c r="L19" s="194">
        <v>0.05</v>
      </c>
      <c r="M19" s="269">
        <f>M18*0.05</f>
        <v>2047505.2680000009</v>
      </c>
    </row>
    <row r="20" spans="1:14" s="109" customFormat="1" ht="18" customHeight="1">
      <c r="A20" s="70" t="s">
        <v>101</v>
      </c>
      <c r="B20" s="122"/>
      <c r="C20" s="72"/>
      <c r="D20" s="72"/>
      <c r="E20" s="119">
        <f>SUM(E18:E19)</f>
        <v>31869188.041850001</v>
      </c>
      <c r="F20" s="119">
        <f t="shared" ref="F20:J20" si="2">SUM(F18:F19)</f>
        <v>32805442.837650001</v>
      </c>
      <c r="G20" s="119">
        <f t="shared" si="2"/>
        <v>0</v>
      </c>
      <c r="H20" s="119">
        <f t="shared" si="2"/>
        <v>0</v>
      </c>
      <c r="I20" s="119">
        <f t="shared" si="2"/>
        <v>0</v>
      </c>
      <c r="J20" s="119">
        <f t="shared" si="2"/>
        <v>64674630.879499994</v>
      </c>
      <c r="K20" s="166">
        <f t="shared" si="1"/>
        <v>64674630.879500002</v>
      </c>
    </row>
    <row r="21" spans="1:14" ht="18" customHeight="1">
      <c r="A21" s="70" t="s">
        <v>15</v>
      </c>
      <c r="B21" s="72"/>
      <c r="C21" s="72"/>
      <c r="D21" s="72"/>
      <c r="E21" s="94"/>
      <c r="F21" s="94"/>
      <c r="G21" s="94"/>
      <c r="H21" s="94"/>
      <c r="I21" s="94"/>
      <c r="J21" s="114"/>
      <c r="K21" s="166">
        <f t="shared" si="1"/>
        <v>0</v>
      </c>
      <c r="M21" s="109">
        <v>26972032.48</v>
      </c>
    </row>
    <row r="22" spans="1:14" ht="18" customHeight="1">
      <c r="A22" s="77" t="s">
        <v>206</v>
      </c>
      <c r="B22" s="263"/>
      <c r="C22" s="263"/>
      <c r="D22" s="263"/>
      <c r="E22" s="94"/>
      <c r="F22" s="94"/>
      <c r="G22" s="94"/>
      <c r="H22" s="94"/>
      <c r="I22" s="94"/>
      <c r="J22" s="114">
        <f>SUM(E22:I22)</f>
        <v>0</v>
      </c>
      <c r="K22" s="166"/>
    </row>
    <row r="23" spans="1:14" ht="18" customHeight="1">
      <c r="A23" s="77" t="s">
        <v>251</v>
      </c>
      <c r="B23" s="263"/>
      <c r="C23" s="263"/>
      <c r="D23" s="263"/>
      <c r="E23" s="94"/>
      <c r="F23" s="94">
        <v>10030</v>
      </c>
      <c r="G23" s="94"/>
      <c r="H23" s="94"/>
      <c r="I23" s="94"/>
      <c r="J23" s="114">
        <f t="shared" ref="J23:J42" si="3">SUM(E23:I23)</f>
        <v>10030</v>
      </c>
      <c r="K23" s="166">
        <f t="shared" si="1"/>
        <v>10030</v>
      </c>
      <c r="L23" s="176">
        <f>518731460.56*0.05</f>
        <v>25936573.028000001</v>
      </c>
      <c r="M23" s="109">
        <v>125607.13</v>
      </c>
    </row>
    <row r="24" spans="1:14" ht="18" customHeight="1">
      <c r="A24" s="290" t="s">
        <v>229</v>
      </c>
      <c r="B24" s="291"/>
      <c r="C24" s="291"/>
      <c r="D24" s="291"/>
      <c r="E24" s="292"/>
      <c r="F24" s="292">
        <v>10486</v>
      </c>
      <c r="G24" s="292"/>
      <c r="H24" s="292"/>
      <c r="I24" s="292"/>
      <c r="J24" s="114">
        <f t="shared" si="3"/>
        <v>10486</v>
      </c>
      <c r="K24" s="166"/>
      <c r="L24" s="228"/>
    </row>
    <row r="25" spans="1:14" ht="18" customHeight="1">
      <c r="A25" s="290" t="s">
        <v>252</v>
      </c>
      <c r="B25" s="291"/>
      <c r="C25" s="291"/>
      <c r="D25" s="291"/>
      <c r="E25" s="292"/>
      <c r="F25" s="292">
        <v>40468</v>
      </c>
      <c r="G25" s="292"/>
      <c r="H25" s="292"/>
      <c r="I25" s="292"/>
      <c r="J25" s="114">
        <f t="shared" si="3"/>
        <v>40468</v>
      </c>
      <c r="K25" s="166">
        <f t="shared" si="1"/>
        <v>40468</v>
      </c>
      <c r="M25" s="232" t="s">
        <v>236</v>
      </c>
    </row>
    <row r="26" spans="1:14" ht="18" customHeight="1">
      <c r="A26" s="290" t="s">
        <v>276</v>
      </c>
      <c r="B26" s="291"/>
      <c r="C26" s="291"/>
      <c r="D26" s="291"/>
      <c r="E26" s="292"/>
      <c r="F26" s="292">
        <v>644355.61</v>
      </c>
      <c r="G26" s="292"/>
      <c r="H26" s="292"/>
      <c r="I26" s="292"/>
      <c r="J26" s="114">
        <f t="shared" si="3"/>
        <v>644355.61</v>
      </c>
      <c r="K26" s="166">
        <f t="shared" si="1"/>
        <v>644355.61</v>
      </c>
      <c r="M26" s="229">
        <v>275607.13</v>
      </c>
      <c r="N26" s="46" t="s">
        <v>230</v>
      </c>
    </row>
    <row r="27" spans="1:14" ht="18" customHeight="1">
      <c r="A27" s="293" t="s">
        <v>275</v>
      </c>
      <c r="B27" s="291"/>
      <c r="C27" s="291"/>
      <c r="D27" s="291"/>
      <c r="E27" s="292"/>
      <c r="F27" s="292">
        <v>250000</v>
      </c>
      <c r="G27" s="292"/>
      <c r="H27" s="292"/>
      <c r="I27" s="292"/>
      <c r="J27" s="114">
        <f t="shared" si="3"/>
        <v>250000</v>
      </c>
      <c r="K27" s="166">
        <f t="shared" si="1"/>
        <v>250000</v>
      </c>
      <c r="M27" s="229">
        <v>695000</v>
      </c>
      <c r="N27" s="46" t="s">
        <v>232</v>
      </c>
    </row>
    <row r="28" spans="1:14" ht="18" customHeight="1">
      <c r="A28" s="290" t="s">
        <v>274</v>
      </c>
      <c r="B28" s="291"/>
      <c r="C28" s="291"/>
      <c r="D28" s="291"/>
      <c r="E28" s="292"/>
      <c r="F28" s="292"/>
      <c r="G28" s="292"/>
      <c r="H28" s="292"/>
      <c r="I28" s="292"/>
      <c r="J28" s="114">
        <f t="shared" si="3"/>
        <v>0</v>
      </c>
      <c r="K28" s="166">
        <f t="shared" si="1"/>
        <v>0</v>
      </c>
      <c r="M28" s="229">
        <v>1470000</v>
      </c>
      <c r="N28" s="46" t="s">
        <v>233</v>
      </c>
    </row>
    <row r="29" spans="1:14" ht="18" customHeight="1">
      <c r="A29" s="290" t="s">
        <v>227</v>
      </c>
      <c r="B29" s="291"/>
      <c r="C29" s="291"/>
      <c r="D29" s="291"/>
      <c r="E29" s="292"/>
      <c r="F29" s="292"/>
      <c r="G29" s="292"/>
      <c r="H29" s="292"/>
      <c r="I29" s="292"/>
      <c r="J29" s="114">
        <f t="shared" si="3"/>
        <v>0</v>
      </c>
      <c r="K29" s="166">
        <f t="shared" si="1"/>
        <v>0</v>
      </c>
      <c r="L29" s="329"/>
      <c r="M29" s="229">
        <v>3071228.76</v>
      </c>
      <c r="N29" s="46" t="s">
        <v>231</v>
      </c>
    </row>
    <row r="30" spans="1:14" ht="18" customHeight="1">
      <c r="A30" s="290" t="s">
        <v>273</v>
      </c>
      <c r="B30" s="291"/>
      <c r="C30" s="291"/>
      <c r="D30" s="291"/>
      <c r="E30" s="292"/>
      <c r="F30" s="292"/>
      <c r="G30" s="292"/>
      <c r="H30" s="292"/>
      <c r="I30" s="292"/>
      <c r="J30" s="114">
        <f t="shared" si="3"/>
        <v>0</v>
      </c>
      <c r="K30" s="166"/>
      <c r="L30" s="329"/>
      <c r="M30" s="229">
        <v>5009130</v>
      </c>
      <c r="N30" s="46" t="s">
        <v>234</v>
      </c>
    </row>
    <row r="31" spans="1:14" ht="18" customHeight="1">
      <c r="A31" s="290" t="s">
        <v>213</v>
      </c>
      <c r="B31" s="291"/>
      <c r="C31" s="291"/>
      <c r="D31" s="291"/>
      <c r="E31" s="292"/>
      <c r="F31" s="292">
        <v>25000</v>
      </c>
      <c r="G31" s="292"/>
      <c r="H31" s="292"/>
      <c r="I31" s="292"/>
      <c r="J31" s="114">
        <f t="shared" si="3"/>
        <v>25000</v>
      </c>
      <c r="K31" s="166"/>
      <c r="L31" s="329"/>
      <c r="M31" s="230">
        <v>1900100</v>
      </c>
      <c r="N31" s="46" t="s">
        <v>235</v>
      </c>
    </row>
    <row r="32" spans="1:14" ht="18" customHeight="1">
      <c r="A32" s="290" t="s">
        <v>250</v>
      </c>
      <c r="B32" s="291"/>
      <c r="C32" s="291"/>
      <c r="D32" s="291"/>
      <c r="E32" s="292"/>
      <c r="F32" s="292">
        <v>4548</v>
      </c>
      <c r="G32" s="292"/>
      <c r="H32" s="292"/>
      <c r="I32" s="292"/>
      <c r="J32" s="114">
        <f t="shared" si="3"/>
        <v>4548</v>
      </c>
      <c r="K32" s="166"/>
      <c r="L32" s="329"/>
      <c r="M32" s="289">
        <f>SUM(M26:M31)</f>
        <v>12421065.890000001</v>
      </c>
    </row>
    <row r="33" spans="1:13" ht="18" customHeight="1">
      <c r="A33" s="290" t="s">
        <v>214</v>
      </c>
      <c r="B33" s="291"/>
      <c r="C33" s="291"/>
      <c r="D33" s="291"/>
      <c r="E33" s="292"/>
      <c r="F33" s="292">
        <v>8500</v>
      </c>
      <c r="G33" s="292"/>
      <c r="H33" s="292"/>
      <c r="I33" s="292"/>
      <c r="J33" s="114">
        <f t="shared" si="3"/>
        <v>8500</v>
      </c>
      <c r="K33" s="227"/>
      <c r="L33" s="329"/>
    </row>
    <row r="34" spans="1:13" ht="18" customHeight="1">
      <c r="A34" s="290" t="s">
        <v>249</v>
      </c>
      <c r="B34" s="291"/>
      <c r="C34" s="291"/>
      <c r="D34" s="291"/>
      <c r="E34" s="292"/>
      <c r="F34" s="292"/>
      <c r="G34" s="292"/>
      <c r="H34" s="292"/>
      <c r="I34" s="292"/>
      <c r="J34" s="114">
        <f t="shared" si="3"/>
        <v>0</v>
      </c>
      <c r="K34" s="265"/>
      <c r="L34" s="329"/>
    </row>
    <row r="35" spans="1:13" ht="18" customHeight="1">
      <c r="A35" s="290" t="s">
        <v>222</v>
      </c>
      <c r="B35" s="291"/>
      <c r="C35" s="291"/>
      <c r="D35" s="291"/>
      <c r="E35" s="292"/>
      <c r="F35" s="292"/>
      <c r="G35" s="292"/>
      <c r="H35" s="292"/>
      <c r="I35" s="292"/>
      <c r="J35" s="114">
        <f t="shared" si="3"/>
        <v>0</v>
      </c>
      <c r="K35" s="266">
        <f t="shared" si="1"/>
        <v>0</v>
      </c>
      <c r="L35" s="109">
        <f>SUM(F29:F35)</f>
        <v>38048</v>
      </c>
    </row>
    <row r="36" spans="1:13" ht="18" customHeight="1">
      <c r="A36" s="290" t="s">
        <v>223</v>
      </c>
      <c r="B36" s="291"/>
      <c r="C36" s="291"/>
      <c r="D36" s="291"/>
      <c r="E36" s="292"/>
      <c r="F36" s="292"/>
      <c r="G36" s="292"/>
      <c r="H36" s="292"/>
      <c r="I36" s="292"/>
      <c r="J36" s="114">
        <f t="shared" si="3"/>
        <v>0</v>
      </c>
      <c r="K36" s="166">
        <f t="shared" si="1"/>
        <v>0</v>
      </c>
      <c r="L36" s="109">
        <v>147060</v>
      </c>
    </row>
    <row r="37" spans="1:13" ht="18" customHeight="1">
      <c r="A37" s="290" t="s">
        <v>168</v>
      </c>
      <c r="B37" s="291"/>
      <c r="C37" s="291"/>
      <c r="D37" s="291"/>
      <c r="E37" s="292"/>
      <c r="F37" s="292"/>
      <c r="G37" s="292"/>
      <c r="H37" s="292"/>
      <c r="I37" s="292"/>
      <c r="J37" s="114">
        <f t="shared" si="3"/>
        <v>0</v>
      </c>
      <c r="K37" s="166">
        <f t="shared" si="1"/>
        <v>0</v>
      </c>
    </row>
    <row r="38" spans="1:13" ht="18" customHeight="1">
      <c r="A38" s="290" t="s">
        <v>293</v>
      </c>
      <c r="B38" s="291"/>
      <c r="C38" s="291"/>
      <c r="D38" s="291"/>
      <c r="E38" s="292"/>
      <c r="F38" s="292">
        <v>20325</v>
      </c>
      <c r="G38" s="292"/>
      <c r="H38" s="292"/>
      <c r="I38" s="292"/>
      <c r="J38" s="114">
        <f t="shared" si="3"/>
        <v>20325</v>
      </c>
      <c r="K38" s="166">
        <f t="shared" si="1"/>
        <v>20325</v>
      </c>
      <c r="L38" s="109">
        <v>1555500</v>
      </c>
    </row>
    <row r="39" spans="1:13" ht="18" customHeight="1">
      <c r="A39" s="290" t="s">
        <v>207</v>
      </c>
      <c r="B39" s="291"/>
      <c r="C39" s="291"/>
      <c r="D39" s="291"/>
      <c r="E39" s="292"/>
      <c r="F39" s="292"/>
      <c r="G39" s="292"/>
      <c r="H39" s="292"/>
      <c r="I39" s="292"/>
      <c r="J39" s="114">
        <f t="shared" si="3"/>
        <v>0</v>
      </c>
      <c r="K39" s="166"/>
    </row>
    <row r="40" spans="1:13" ht="18" customHeight="1">
      <c r="A40" s="83" t="s">
        <v>94</v>
      </c>
      <c r="B40" s="263"/>
      <c r="C40" s="263"/>
      <c r="D40" s="263"/>
      <c r="E40" s="94"/>
      <c r="F40" s="94"/>
      <c r="G40" s="94"/>
      <c r="H40" s="94"/>
      <c r="I40" s="94"/>
      <c r="J40" s="114">
        <f t="shared" si="3"/>
        <v>0</v>
      </c>
      <c r="K40" s="166">
        <f t="shared" si="1"/>
        <v>0</v>
      </c>
      <c r="L40" s="109">
        <v>177000</v>
      </c>
    </row>
    <row r="41" spans="1:13" ht="18" customHeight="1">
      <c r="A41" s="83" t="s">
        <v>95</v>
      </c>
      <c r="B41" s="263"/>
      <c r="C41" s="263"/>
      <c r="D41" s="263"/>
      <c r="E41" s="94"/>
      <c r="F41" s="94"/>
      <c r="G41" s="94"/>
      <c r="H41" s="94"/>
      <c r="I41" s="94"/>
      <c r="J41" s="114">
        <f t="shared" si="3"/>
        <v>0</v>
      </c>
      <c r="K41" s="166">
        <f t="shared" si="1"/>
        <v>0</v>
      </c>
      <c r="L41" s="109">
        <v>204055</v>
      </c>
    </row>
    <row r="42" spans="1:13" ht="18" customHeight="1">
      <c r="A42" s="77" t="s">
        <v>96</v>
      </c>
      <c r="B42" s="263"/>
      <c r="C42" s="263"/>
      <c r="D42" s="263"/>
      <c r="E42" s="94"/>
      <c r="F42" s="102"/>
      <c r="G42" s="94"/>
      <c r="H42" s="94"/>
      <c r="I42" s="94"/>
      <c r="J42" s="114">
        <f t="shared" si="3"/>
        <v>0</v>
      </c>
      <c r="K42" s="166">
        <f t="shared" si="1"/>
        <v>0</v>
      </c>
      <c r="L42" s="109">
        <v>71070</v>
      </c>
    </row>
    <row r="43" spans="1:13" ht="18" customHeight="1">
      <c r="A43" s="84" t="s">
        <v>92</v>
      </c>
      <c r="B43" s="63"/>
      <c r="C43" s="63"/>
      <c r="D43" s="63"/>
      <c r="E43" s="89">
        <f>SUM(E22:E42)</f>
        <v>0</v>
      </c>
      <c r="F43" s="303">
        <f>SUM(F22:F42)</f>
        <v>1013712.61</v>
      </c>
      <c r="G43" s="304">
        <f>SUM(G22:G42)</f>
        <v>0</v>
      </c>
      <c r="H43" s="94">
        <f t="shared" ref="H43:J43" si="4">SUM(H22:H42)</f>
        <v>0</v>
      </c>
      <c r="I43" s="94">
        <f t="shared" si="4"/>
        <v>0</v>
      </c>
      <c r="J43" s="292">
        <f t="shared" si="4"/>
        <v>1013712.61</v>
      </c>
      <c r="K43" s="166">
        <f t="shared" si="1"/>
        <v>1013712.61</v>
      </c>
      <c r="L43" s="109">
        <v>27800</v>
      </c>
      <c r="M43" s="46"/>
    </row>
    <row r="44" spans="1:13" ht="18" customHeight="1">
      <c r="A44" s="84" t="s">
        <v>103</v>
      </c>
      <c r="B44" s="63"/>
      <c r="C44" s="63"/>
      <c r="D44" s="63"/>
      <c r="E44" s="103">
        <f>SUM('DRRM Funds -Oct''16'!E45)</f>
        <v>0</v>
      </c>
      <c r="F44" s="103">
        <f>SUM('DRRM Funds -Oct''16'!F45)</f>
        <v>11028375.58</v>
      </c>
      <c r="G44" s="103">
        <f>SUM('DRRM Funds -Oct''16'!G45)</f>
        <v>0</v>
      </c>
      <c r="H44" s="103">
        <f>SUM('DRRM Funds -Oct''16'!H45)</f>
        <v>0</v>
      </c>
      <c r="I44" s="103">
        <f>SUM('DRRM Funds -Oct''16'!I45)</f>
        <v>0</v>
      </c>
      <c r="J44" s="103">
        <f>SUM('DRRM Funds -Oct''16'!J45)</f>
        <v>11028375.58</v>
      </c>
      <c r="K44" s="166">
        <f t="shared" si="1"/>
        <v>11028375.58</v>
      </c>
      <c r="L44" s="109">
        <v>126865</v>
      </c>
      <c r="M44" s="109">
        <f>SUM(E44:H44)</f>
        <v>11028375.58</v>
      </c>
    </row>
    <row r="45" spans="1:13" ht="18" customHeight="1">
      <c r="A45" s="84" t="s">
        <v>104</v>
      </c>
      <c r="B45" s="63"/>
      <c r="C45" s="63"/>
      <c r="D45" s="63"/>
      <c r="E45" s="103">
        <f>SUM(E43:E44)</f>
        <v>0</v>
      </c>
      <c r="F45" s="103">
        <f t="shared" ref="F45:J45" si="5">SUM(F43:F44)</f>
        <v>12042088.189999999</v>
      </c>
      <c r="G45" s="103">
        <f t="shared" si="5"/>
        <v>0</v>
      </c>
      <c r="H45" s="103">
        <f t="shared" si="5"/>
        <v>0</v>
      </c>
      <c r="I45" s="103">
        <f t="shared" si="5"/>
        <v>0</v>
      </c>
      <c r="J45" s="103">
        <f t="shared" si="5"/>
        <v>12042088.189999999</v>
      </c>
      <c r="K45" s="166">
        <f t="shared" si="1"/>
        <v>12042088.189999999</v>
      </c>
      <c r="L45" s="174">
        <f>SUM(L35:L44)</f>
        <v>2347398</v>
      </c>
      <c r="M45" s="109">
        <v>10492358.970000001</v>
      </c>
    </row>
    <row r="46" spans="1:13" ht="18" customHeight="1">
      <c r="A46" s="70" t="s">
        <v>93</v>
      </c>
      <c r="B46" s="72"/>
      <c r="C46" s="72"/>
      <c r="D46" s="80"/>
      <c r="E46" s="231">
        <f t="shared" ref="E46:J46" si="6">E20-E43</f>
        <v>31869188.041850001</v>
      </c>
      <c r="F46" s="231">
        <f t="shared" si="6"/>
        <v>31791730.227650002</v>
      </c>
      <c r="G46" s="231">
        <f>G20-G43</f>
        <v>0</v>
      </c>
      <c r="H46" s="231">
        <f t="shared" si="6"/>
        <v>0</v>
      </c>
      <c r="I46" s="231">
        <f t="shared" si="6"/>
        <v>0</v>
      </c>
      <c r="J46" s="231">
        <f t="shared" si="6"/>
        <v>63660918.269499995</v>
      </c>
      <c r="K46" s="166">
        <f>SUM(E46:I46)</f>
        <v>63660918.269500002</v>
      </c>
      <c r="L46" s="46"/>
      <c r="M46" s="109">
        <f>M45-L45</f>
        <v>8144960.9700000007</v>
      </c>
    </row>
    <row r="47" spans="1:13" ht="18" customHeight="1">
      <c r="A47" s="55"/>
      <c r="B47" s="55"/>
      <c r="C47" s="55"/>
      <c r="D47" s="55"/>
      <c r="E47" s="55"/>
      <c r="F47" s="55"/>
      <c r="G47" s="55"/>
      <c r="H47" s="55"/>
      <c r="I47" s="55"/>
      <c r="J47" s="115" t="s">
        <v>74</v>
      </c>
      <c r="K47" s="92">
        <f>SUM(E46:F46)</f>
        <v>63660918.269500002</v>
      </c>
      <c r="M47" s="109">
        <v>0</v>
      </c>
    </row>
    <row r="48" spans="1:13">
      <c r="A48" s="55" t="s">
        <v>83</v>
      </c>
      <c r="B48" s="55"/>
      <c r="C48" s="55"/>
      <c r="D48" s="55"/>
      <c r="E48" s="55"/>
      <c r="F48" s="55"/>
      <c r="G48" s="55"/>
      <c r="H48" s="55" t="s">
        <v>29</v>
      </c>
      <c r="I48" s="55"/>
      <c r="J48" s="115"/>
      <c r="K48" s="55"/>
      <c r="L48" s="109">
        <v>752760</v>
      </c>
    </row>
    <row r="49" spans="1:13">
      <c r="A49" s="55"/>
      <c r="B49" s="55"/>
      <c r="C49" s="55"/>
      <c r="D49" s="55"/>
      <c r="E49" s="55"/>
      <c r="F49" s="55"/>
      <c r="G49" s="55"/>
      <c r="H49" s="55"/>
      <c r="I49" s="55"/>
      <c r="J49" s="115"/>
      <c r="K49" s="55"/>
      <c r="L49" s="109">
        <v>902075</v>
      </c>
    </row>
    <row r="50" spans="1:13">
      <c r="A50" s="82" t="s">
        <v>202</v>
      </c>
      <c r="B50" s="55"/>
      <c r="C50" s="55"/>
      <c r="D50" s="55"/>
      <c r="E50" s="55"/>
      <c r="F50" s="55"/>
      <c r="G50" s="55"/>
      <c r="H50" s="241" t="s">
        <v>72</v>
      </c>
      <c r="I50" s="55"/>
      <c r="J50" s="115"/>
      <c r="K50" s="55"/>
      <c r="L50" s="109">
        <v>504234.65</v>
      </c>
      <c r="M50" s="109">
        <v>8736531.7100000009</v>
      </c>
    </row>
    <row r="51" spans="1:13">
      <c r="A51" s="140" t="s">
        <v>287</v>
      </c>
      <c r="B51" s="55"/>
      <c r="C51" s="55"/>
      <c r="D51" s="55"/>
      <c r="E51" s="55"/>
      <c r="F51" s="55"/>
      <c r="G51" s="55"/>
      <c r="H51" s="140" t="s">
        <v>85</v>
      </c>
      <c r="I51" s="55"/>
      <c r="J51" s="115"/>
      <c r="K51" s="55"/>
      <c r="L51" s="109">
        <v>899145</v>
      </c>
      <c r="M51" s="109">
        <v>10140</v>
      </c>
    </row>
    <row r="52" spans="1:13">
      <c r="A52" s="55"/>
      <c r="B52" s="55"/>
      <c r="C52" s="55"/>
      <c r="D52" s="55"/>
      <c r="E52" s="121" t="s">
        <v>237</v>
      </c>
      <c r="F52" s="55"/>
      <c r="G52" s="55"/>
      <c r="H52" s="55"/>
      <c r="I52" s="55"/>
      <c r="J52" s="115"/>
      <c r="K52" s="55"/>
      <c r="L52" s="109">
        <v>1087927.3999999999</v>
      </c>
      <c r="M52" s="109">
        <f>SUM(M50:M51)</f>
        <v>8746671.7100000009</v>
      </c>
    </row>
    <row r="53" spans="1:13">
      <c r="A53" s="55"/>
      <c r="B53" s="55"/>
      <c r="C53" s="55"/>
      <c r="D53" s="55"/>
      <c r="E53" s="115"/>
      <c r="F53" s="55"/>
      <c r="G53" s="55"/>
      <c r="H53" s="55"/>
      <c r="I53" s="115"/>
      <c r="J53" s="115"/>
      <c r="K53" s="55"/>
      <c r="L53" s="109">
        <v>2896515.5</v>
      </c>
    </row>
    <row r="54" spans="1:13">
      <c r="A54" s="55"/>
      <c r="B54" s="55"/>
      <c r="C54" s="55"/>
      <c r="D54" s="55"/>
      <c r="E54" s="82" t="s">
        <v>298</v>
      </c>
      <c r="F54" s="55"/>
      <c r="G54" s="55"/>
      <c r="H54" s="55"/>
      <c r="I54" s="115"/>
      <c r="J54" s="115"/>
      <c r="K54" s="55"/>
    </row>
    <row r="55" spans="1:13">
      <c r="A55" s="55"/>
      <c r="B55" s="55"/>
      <c r="C55" s="55"/>
      <c r="D55" s="55"/>
      <c r="E55" s="55" t="s">
        <v>299</v>
      </c>
      <c r="F55" s="55"/>
      <c r="G55" s="55"/>
      <c r="H55" s="55"/>
      <c r="I55" s="115"/>
      <c r="J55" s="115"/>
      <c r="K55" s="55"/>
      <c r="L55" s="109">
        <v>120000</v>
      </c>
    </row>
    <row r="56" spans="1:13">
      <c r="I56" s="109"/>
      <c r="M56" s="46"/>
    </row>
    <row r="57" spans="1:13">
      <c r="F57" s="121"/>
      <c r="I57" s="109"/>
      <c r="K57" s="55"/>
      <c r="L57" s="115">
        <v>630000</v>
      </c>
      <c r="M57" s="183">
        <v>10644424.82</v>
      </c>
    </row>
    <row r="58" spans="1:13">
      <c r="B58" s="276" t="s">
        <v>236</v>
      </c>
      <c r="F58" s="115"/>
      <c r="I58" s="109"/>
      <c r="J58" s="109">
        <v>7850000</v>
      </c>
      <c r="L58" s="109">
        <v>1000000</v>
      </c>
      <c r="M58" s="183">
        <v>13157941.960000001</v>
      </c>
    </row>
    <row r="59" spans="1:13">
      <c r="I59" s="109"/>
      <c r="J59" s="109">
        <v>800000</v>
      </c>
      <c r="L59" s="109">
        <v>1300000</v>
      </c>
      <c r="M59" s="184">
        <v>0</v>
      </c>
    </row>
    <row r="60" spans="1:13">
      <c r="A60" s="46" t="s">
        <v>282</v>
      </c>
      <c r="B60" s="392">
        <f>1493800+99900</f>
        <v>1593700</v>
      </c>
      <c r="C60" s="392"/>
      <c r="I60" s="109"/>
      <c r="J60" s="109">
        <v>1200000</v>
      </c>
      <c r="L60" s="109">
        <v>2000000</v>
      </c>
      <c r="M60" s="183">
        <f>SUM(M57:M59)</f>
        <v>23802366.780000001</v>
      </c>
    </row>
    <row r="61" spans="1:13">
      <c r="A61" s="46" t="s">
        <v>281</v>
      </c>
      <c r="B61" s="392">
        <v>1400000</v>
      </c>
      <c r="C61" s="392"/>
      <c r="I61" s="109"/>
      <c r="J61" s="109">
        <v>3500000</v>
      </c>
      <c r="L61" s="109">
        <v>150000</v>
      </c>
      <c r="M61" s="183">
        <v>24092226.780000001</v>
      </c>
    </row>
    <row r="62" spans="1:13">
      <c r="A62" s="46" t="s">
        <v>258</v>
      </c>
      <c r="B62" s="393">
        <v>1975000</v>
      </c>
      <c r="C62" s="393"/>
      <c r="I62" s="109">
        <v>100000</v>
      </c>
      <c r="J62" s="116">
        <f>SUM(J58:J61)</f>
        <v>13350000</v>
      </c>
      <c r="L62" s="109">
        <v>4590281.96</v>
      </c>
      <c r="M62" s="183">
        <f>M61-M60</f>
        <v>289860</v>
      </c>
    </row>
    <row r="63" spans="1:13">
      <c r="A63" s="46" t="s">
        <v>283</v>
      </c>
      <c r="B63" s="387">
        <v>1214184.3500000001</v>
      </c>
      <c r="C63" s="387"/>
      <c r="I63" s="109">
        <v>4589687.1100000003</v>
      </c>
      <c r="J63" s="109">
        <v>16829861.079999998</v>
      </c>
      <c r="L63" s="109">
        <f>SUM(L57:L62)</f>
        <v>9670281.9600000009</v>
      </c>
      <c r="M63" s="46"/>
    </row>
    <row r="64" spans="1:13">
      <c r="B64" s="388">
        <f>SUM(B60:C63)</f>
        <v>6182884.3499999996</v>
      </c>
      <c r="C64" s="388"/>
      <c r="I64" s="116">
        <f>SUM(I58:I63)</f>
        <v>4689687.1100000003</v>
      </c>
      <c r="J64" s="109">
        <f>J62-J63</f>
        <v>-3479861.0799999982</v>
      </c>
      <c r="M64" s="109">
        <v>24416573.030000001</v>
      </c>
    </row>
    <row r="65" spans="1:13">
      <c r="I65" s="109">
        <v>7212797.6100000003</v>
      </c>
      <c r="M65" s="109">
        <v>24708913.030000001</v>
      </c>
    </row>
    <row r="66" spans="1:13">
      <c r="I66" s="109">
        <f>I64-I65</f>
        <v>-2523110.5</v>
      </c>
      <c r="M66" s="109">
        <f>M64-M65</f>
        <v>-292340</v>
      </c>
    </row>
    <row r="67" spans="1:13">
      <c r="I67" s="109"/>
      <c r="M67" s="109">
        <v>289860</v>
      </c>
    </row>
    <row r="68" spans="1:13">
      <c r="I68" s="109"/>
      <c r="J68" s="109">
        <v>25346381.800000001</v>
      </c>
      <c r="M68" s="173">
        <f>SUM(M66:M67)</f>
        <v>-2480</v>
      </c>
    </row>
    <row r="69" spans="1:13">
      <c r="I69" s="109"/>
      <c r="J69" s="109">
        <v>24042658.690000001</v>
      </c>
      <c r="M69" s="46"/>
    </row>
    <row r="70" spans="1:13">
      <c r="I70" s="109"/>
      <c r="J70" s="109">
        <f>J68-J69</f>
        <v>1303723.1099999994</v>
      </c>
      <c r="L70" s="109">
        <v>400000</v>
      </c>
      <c r="M70" s="46"/>
    </row>
    <row r="71" spans="1:13">
      <c r="I71" s="109"/>
      <c r="L71" s="109">
        <v>1000000</v>
      </c>
      <c r="M71" s="109">
        <v>25279.7</v>
      </c>
    </row>
    <row r="72" spans="1:13">
      <c r="I72" s="109"/>
      <c r="M72" s="109">
        <v>27759.7</v>
      </c>
    </row>
    <row r="73" spans="1:13">
      <c r="H73" s="109"/>
      <c r="I73" s="109"/>
      <c r="M73" s="173">
        <f>M71-M72</f>
        <v>-2480</v>
      </c>
    </row>
    <row r="74" spans="1:13">
      <c r="H74" s="109">
        <v>4455551.57</v>
      </c>
      <c r="I74" s="109"/>
      <c r="J74" s="109">
        <v>17496381.800000001</v>
      </c>
      <c r="M74" s="46"/>
    </row>
    <row r="75" spans="1:13">
      <c r="H75" s="109">
        <v>5760963.6399999997</v>
      </c>
      <c r="I75" s="109"/>
      <c r="J75" s="109">
        <v>7850000</v>
      </c>
      <c r="M75" s="46"/>
    </row>
    <row r="76" spans="1:13">
      <c r="H76" s="109">
        <f>SUM(H74:H75)</f>
        <v>10216515.210000001</v>
      </c>
      <c r="I76" s="109"/>
      <c r="J76" s="109">
        <f>SUM(J74:J75)</f>
        <v>25346381.800000001</v>
      </c>
      <c r="M76" s="46"/>
    </row>
    <row r="77" spans="1:13" s="109" customFormat="1">
      <c r="A77" s="46"/>
      <c r="B77" s="46"/>
      <c r="C77" s="46"/>
      <c r="D77" s="46"/>
      <c r="E77" s="46"/>
      <c r="F77" s="46"/>
      <c r="G77" s="46"/>
    </row>
    <row r="78" spans="1:13" s="109" customFormat="1">
      <c r="A78" s="46"/>
      <c r="B78" s="46"/>
      <c r="C78" s="46"/>
      <c r="D78" s="46"/>
      <c r="E78" s="46"/>
      <c r="F78" s="46"/>
      <c r="G78" s="46"/>
    </row>
    <row r="79" spans="1:13" s="109" customFormat="1">
      <c r="A79" s="46"/>
      <c r="B79" s="46"/>
      <c r="C79" s="46"/>
      <c r="D79" s="46"/>
      <c r="E79" s="46"/>
      <c r="F79" s="46"/>
      <c r="G79" s="46"/>
    </row>
    <row r="80" spans="1:13" s="109" customFormat="1">
      <c r="A80" s="46"/>
      <c r="B80" s="46"/>
      <c r="C80" s="46"/>
      <c r="D80" s="46"/>
      <c r="E80" s="46"/>
      <c r="F80" s="46"/>
      <c r="G80" s="46"/>
    </row>
    <row r="81" spans="1:11" s="109" customFormat="1">
      <c r="A81" s="46"/>
      <c r="B81" s="46"/>
      <c r="C81" s="46"/>
      <c r="D81" s="46"/>
      <c r="E81" s="46"/>
      <c r="F81" s="46"/>
      <c r="G81" s="46"/>
    </row>
    <row r="82" spans="1:11" s="109" customFormat="1">
      <c r="A82" s="46"/>
      <c r="B82" s="46"/>
      <c r="C82" s="46"/>
      <c r="D82" s="46"/>
      <c r="E82" s="46"/>
      <c r="F82" s="46"/>
      <c r="G82" s="46"/>
    </row>
    <row r="83" spans="1:11" s="109" customFormat="1">
      <c r="A83" s="46"/>
      <c r="B83" s="46"/>
      <c r="C83" s="46"/>
      <c r="D83" s="46"/>
      <c r="E83" s="46"/>
      <c r="F83" s="46"/>
      <c r="G83" s="46"/>
      <c r="H83" s="46"/>
    </row>
    <row r="84" spans="1:11" s="109" customFormat="1">
      <c r="A84" s="46"/>
      <c r="B84" s="46"/>
      <c r="C84" s="46"/>
      <c r="D84" s="46"/>
      <c r="E84" s="46"/>
      <c r="F84" s="46"/>
      <c r="G84" s="46"/>
      <c r="H84" s="46"/>
    </row>
    <row r="85" spans="1:11" s="109" customFormat="1">
      <c r="A85" s="46"/>
      <c r="B85" s="46"/>
      <c r="C85" s="46"/>
      <c r="D85" s="46"/>
      <c r="E85" s="46"/>
      <c r="F85" s="46"/>
      <c r="G85" s="46"/>
      <c r="H85" s="46"/>
    </row>
    <row r="86" spans="1:11" s="109" customFormat="1">
      <c r="A86" s="46"/>
      <c r="B86" s="46"/>
      <c r="C86" s="46"/>
      <c r="D86" s="46"/>
      <c r="E86" s="46"/>
      <c r="F86" s="46"/>
      <c r="G86" s="46"/>
      <c r="H86" s="46"/>
    </row>
    <row r="87" spans="1:11" s="109" customFormat="1">
      <c r="A87" s="46"/>
      <c r="B87" s="46"/>
      <c r="C87" s="46"/>
      <c r="D87" s="46"/>
      <c r="E87" s="46"/>
      <c r="F87" s="46"/>
      <c r="G87" s="46"/>
      <c r="H87" s="46"/>
      <c r="K87" s="46"/>
    </row>
    <row r="88" spans="1:11" s="109" customFormat="1">
      <c r="A88" s="46"/>
      <c r="B88" s="46"/>
      <c r="C88" s="46"/>
      <c r="D88" s="46"/>
      <c r="E88" s="46"/>
      <c r="F88" s="46"/>
      <c r="G88" s="46"/>
      <c r="H88" s="46"/>
      <c r="K88" s="46"/>
    </row>
    <row r="89" spans="1:11" s="109" customFormat="1">
      <c r="A89" s="46"/>
      <c r="B89" s="46"/>
      <c r="C89" s="46"/>
      <c r="D89" s="46"/>
      <c r="E89" s="46"/>
      <c r="F89" s="46"/>
      <c r="G89" s="46"/>
      <c r="H89" s="46"/>
      <c r="K89" s="46"/>
    </row>
    <row r="90" spans="1:11" s="109" customFormat="1">
      <c r="A90" s="46"/>
      <c r="B90" s="46"/>
      <c r="C90" s="46"/>
      <c r="D90" s="46"/>
      <c r="E90" s="46"/>
      <c r="F90" s="46"/>
      <c r="G90" s="46"/>
      <c r="H90" s="46"/>
      <c r="K90" s="46"/>
    </row>
    <row r="91" spans="1:11" s="109" customFormat="1">
      <c r="A91" s="46"/>
      <c r="B91" s="46"/>
      <c r="C91" s="46"/>
      <c r="D91" s="46"/>
      <c r="E91" s="46"/>
      <c r="F91" s="46"/>
      <c r="G91" s="46"/>
      <c r="H91" s="46"/>
      <c r="K91" s="46"/>
    </row>
    <row r="92" spans="1:11" s="109" customFormat="1">
      <c r="A92" s="46"/>
      <c r="B92" s="46"/>
      <c r="C92" s="46"/>
      <c r="D92" s="46"/>
      <c r="E92" s="46"/>
      <c r="F92" s="46"/>
      <c r="G92" s="46"/>
      <c r="H92" s="46"/>
      <c r="K92" s="46"/>
    </row>
    <row r="93" spans="1:11" s="109" customFormat="1">
      <c r="A93" s="46"/>
      <c r="B93" s="46"/>
      <c r="C93" s="46"/>
      <c r="D93" s="46"/>
      <c r="E93" s="46"/>
      <c r="F93" s="46"/>
      <c r="G93" s="46"/>
      <c r="H93" s="46"/>
      <c r="K93" s="46"/>
    </row>
    <row r="94" spans="1:11" s="109" customFormat="1">
      <c r="A94" s="46"/>
      <c r="B94" s="46"/>
      <c r="C94" s="46"/>
      <c r="D94" s="46"/>
      <c r="E94" s="46"/>
      <c r="F94" s="46"/>
      <c r="G94" s="46"/>
      <c r="H94" s="46"/>
      <c r="K94" s="46"/>
    </row>
    <row r="95" spans="1:11" s="109" customFormat="1">
      <c r="A95" s="46"/>
      <c r="B95" s="46"/>
      <c r="C95" s="46"/>
      <c r="D95" s="46"/>
      <c r="E95" s="46"/>
      <c r="F95" s="46"/>
      <c r="G95" s="46"/>
      <c r="H95" s="46"/>
      <c r="K95" s="46"/>
    </row>
    <row r="96" spans="1:11" s="109" customFormat="1">
      <c r="A96" s="46"/>
      <c r="B96" s="46"/>
      <c r="C96" s="46"/>
      <c r="D96" s="46"/>
      <c r="E96" s="46"/>
      <c r="F96" s="46"/>
      <c r="G96" s="46"/>
      <c r="H96" s="46"/>
      <c r="K96" s="46"/>
    </row>
    <row r="97" spans="1:11" s="109" customFormat="1">
      <c r="A97" s="46"/>
      <c r="B97" s="46"/>
      <c r="C97" s="46"/>
      <c r="D97" s="46"/>
      <c r="E97" s="46"/>
      <c r="F97" s="46"/>
      <c r="G97" s="46"/>
      <c r="H97" s="46"/>
      <c r="K97" s="46"/>
    </row>
    <row r="98" spans="1:11" s="109" customFormat="1">
      <c r="A98" s="46"/>
      <c r="B98" s="46"/>
      <c r="C98" s="46"/>
      <c r="D98" s="46"/>
      <c r="E98" s="46"/>
      <c r="F98" s="46"/>
      <c r="G98" s="46"/>
      <c r="H98" s="46"/>
      <c r="K98" s="46"/>
    </row>
    <row r="99" spans="1:11" s="109" customFormat="1">
      <c r="A99" s="46"/>
      <c r="B99" s="46"/>
      <c r="C99" s="46"/>
      <c r="D99" s="46"/>
      <c r="E99" s="46"/>
      <c r="F99" s="46"/>
      <c r="G99" s="46"/>
      <c r="H99" s="46"/>
      <c r="K99" s="46"/>
    </row>
  </sheetData>
  <mergeCells count="8">
    <mergeCell ref="B63:C63"/>
    <mergeCell ref="B64:C64"/>
    <mergeCell ref="A2:J2"/>
    <mergeCell ref="A3:J3"/>
    <mergeCell ref="A4:J4"/>
    <mergeCell ref="B60:C60"/>
    <mergeCell ref="B61:C61"/>
    <mergeCell ref="B62:C62"/>
  </mergeCells>
  <printOptions horizontalCentered="1"/>
  <pageMargins left="0.02" right="0.15" top="0.39" bottom="0.1" header="0.21" footer="0.1"/>
  <pageSetup scale="84" orientation="portrait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N99"/>
  <sheetViews>
    <sheetView topLeftCell="A34" workbookViewId="0">
      <selection activeCell="E44" sqref="E44"/>
    </sheetView>
  </sheetViews>
  <sheetFormatPr defaultRowHeight="12.75"/>
  <cols>
    <col min="1" max="1" width="6" style="46" customWidth="1"/>
    <col min="2" max="3" width="9.140625" style="46"/>
    <col min="4" max="4" width="16.5703125" style="46" customWidth="1"/>
    <col min="5" max="6" width="13.85546875" style="46" customWidth="1"/>
    <col min="7" max="7" width="10" style="46" customWidth="1"/>
    <col min="8" max="8" width="11.5703125" style="46" customWidth="1"/>
    <col min="9" max="9" width="11.42578125" style="46" customWidth="1"/>
    <col min="10" max="10" width="13.28515625" style="109" customWidth="1"/>
    <col min="11" max="11" width="15.7109375" style="46" customWidth="1"/>
    <col min="12" max="12" width="16.85546875" style="109" customWidth="1"/>
    <col min="13" max="13" width="17" style="109" customWidth="1"/>
    <col min="14" max="14" width="17" style="46" customWidth="1"/>
    <col min="15" max="16384" width="9.140625" style="46"/>
  </cols>
  <sheetData>
    <row r="1" spans="1:13">
      <c r="A1" s="47"/>
      <c r="B1" s="48"/>
      <c r="C1" s="48"/>
      <c r="D1" s="48"/>
      <c r="E1" s="48"/>
      <c r="F1" s="48"/>
      <c r="G1" s="48"/>
      <c r="H1" s="48"/>
      <c r="I1" s="48"/>
      <c r="J1" s="169" t="s">
        <v>81</v>
      </c>
    </row>
    <row r="2" spans="1:13">
      <c r="A2" s="389" t="s">
        <v>80</v>
      </c>
      <c r="B2" s="390"/>
      <c r="C2" s="390"/>
      <c r="D2" s="390"/>
      <c r="E2" s="390"/>
      <c r="F2" s="390"/>
      <c r="G2" s="390"/>
      <c r="H2" s="390"/>
      <c r="I2" s="390"/>
      <c r="J2" s="391"/>
    </row>
    <row r="3" spans="1:13">
      <c r="A3" s="389" t="s">
        <v>304</v>
      </c>
      <c r="B3" s="390"/>
      <c r="C3" s="390"/>
      <c r="D3" s="390"/>
      <c r="E3" s="390"/>
      <c r="F3" s="390"/>
      <c r="G3" s="390"/>
      <c r="H3" s="390"/>
      <c r="I3" s="390"/>
      <c r="J3" s="391"/>
    </row>
    <row r="4" spans="1:13">
      <c r="A4" s="389"/>
      <c r="B4" s="390"/>
      <c r="C4" s="390"/>
      <c r="D4" s="390"/>
      <c r="E4" s="390"/>
      <c r="F4" s="390"/>
      <c r="G4" s="390"/>
      <c r="H4" s="390"/>
      <c r="I4" s="390"/>
      <c r="J4" s="391"/>
    </row>
    <row r="5" spans="1:13">
      <c r="A5" s="54" t="s">
        <v>77</v>
      </c>
      <c r="B5" s="324"/>
      <c r="C5" s="324"/>
      <c r="D5" s="324"/>
      <c r="E5" s="324"/>
      <c r="F5" s="324"/>
      <c r="G5" s="324"/>
      <c r="H5" s="324"/>
      <c r="I5" s="324"/>
      <c r="J5" s="170"/>
    </row>
    <row r="6" spans="1:13">
      <c r="A6" s="54" t="s">
        <v>76</v>
      </c>
      <c r="B6" s="55"/>
      <c r="C6" s="55"/>
      <c r="D6" s="55"/>
      <c r="E6" s="55"/>
      <c r="F6" s="55"/>
      <c r="G6" s="55"/>
      <c r="H6" s="55" t="s">
        <v>278</v>
      </c>
      <c r="I6" s="55"/>
      <c r="J6" s="171"/>
      <c r="K6" s="46" t="s">
        <v>210</v>
      </c>
    </row>
    <row r="7" spans="1:13">
      <c r="A7" s="47"/>
      <c r="B7" s="48"/>
      <c r="C7" s="48"/>
      <c r="D7" s="49"/>
      <c r="E7" s="88" t="s">
        <v>8</v>
      </c>
      <c r="F7" s="50"/>
      <c r="G7" s="52"/>
      <c r="H7" s="52"/>
      <c r="I7" s="53"/>
      <c r="J7" s="110"/>
    </row>
    <row r="8" spans="1:13">
      <c r="A8" s="54"/>
      <c r="B8" s="55"/>
      <c r="C8" s="55"/>
      <c r="D8" s="56"/>
      <c r="E8" s="323" t="s">
        <v>9</v>
      </c>
      <c r="F8" s="53"/>
      <c r="G8" s="59"/>
      <c r="H8" s="59"/>
      <c r="I8" s="58"/>
      <c r="J8" s="111"/>
    </row>
    <row r="9" spans="1:13">
      <c r="A9" s="61" t="s">
        <v>68</v>
      </c>
      <c r="B9" s="55"/>
      <c r="C9" s="55"/>
      <c r="D9" s="56"/>
      <c r="E9" s="323" t="s">
        <v>10</v>
      </c>
      <c r="F9" s="60" t="s">
        <v>12</v>
      </c>
      <c r="G9" s="60" t="s">
        <v>14</v>
      </c>
      <c r="H9" s="60" t="s">
        <v>20</v>
      </c>
      <c r="I9" s="60" t="s">
        <v>22</v>
      </c>
      <c r="J9" s="112" t="s">
        <v>24</v>
      </c>
    </row>
    <row r="10" spans="1:13">
      <c r="A10" s="54"/>
      <c r="B10" s="55"/>
      <c r="C10" s="55"/>
      <c r="D10" s="56"/>
      <c r="E10" s="323" t="s">
        <v>11</v>
      </c>
      <c r="F10" s="60" t="s">
        <v>13</v>
      </c>
      <c r="G10" s="59"/>
      <c r="H10" s="60" t="s">
        <v>21</v>
      </c>
      <c r="I10" s="60" t="s">
        <v>23</v>
      </c>
      <c r="J10" s="111"/>
    </row>
    <row r="11" spans="1:13">
      <c r="A11" s="62"/>
      <c r="B11" s="63"/>
      <c r="C11" s="63"/>
      <c r="D11" s="64"/>
      <c r="E11" s="65">
        <v>0.3</v>
      </c>
      <c r="F11" s="66">
        <v>0.7</v>
      </c>
      <c r="G11" s="59"/>
      <c r="H11" s="67"/>
      <c r="I11" s="68"/>
      <c r="J11" s="113"/>
    </row>
    <row r="12" spans="1:13" ht="18" customHeight="1">
      <c r="A12" s="70" t="s">
        <v>0</v>
      </c>
      <c r="B12" s="71"/>
      <c r="C12" s="71"/>
      <c r="D12" s="72"/>
      <c r="E12" s="51"/>
      <c r="F12" s="51"/>
      <c r="G12" s="51"/>
      <c r="H12" s="51"/>
      <c r="I12" s="51"/>
      <c r="J12" s="110"/>
      <c r="L12" s="322" t="s">
        <v>90</v>
      </c>
      <c r="M12" s="322" t="s">
        <v>89</v>
      </c>
    </row>
    <row r="13" spans="1:13" ht="18" customHeight="1">
      <c r="A13" s="73" t="s">
        <v>1</v>
      </c>
      <c r="B13" s="72"/>
      <c r="C13" s="72"/>
      <c r="D13" s="72"/>
      <c r="E13" s="94">
        <f>M19*0.3</f>
        <v>1033078.0388999998</v>
      </c>
      <c r="F13" s="94">
        <f>M19*0.7</f>
        <v>2410515.4240999995</v>
      </c>
      <c r="G13" s="94"/>
      <c r="H13" s="94"/>
      <c r="I13" s="94"/>
      <c r="J13" s="114">
        <f>SUM(E13:I13)</f>
        <v>3443593.4629999995</v>
      </c>
      <c r="K13" s="175" t="e">
        <f>SUM(J13+#REF!+#REF!+#REF!+#REF!+#REF!+#REF!+#REF!+#REF!+#REF!+#REF!+#REF!)</f>
        <v>#REF!</v>
      </c>
      <c r="L13" s="109">
        <v>21367644.399999999</v>
      </c>
      <c r="M13" s="109">
        <v>4171566.4</v>
      </c>
    </row>
    <row r="14" spans="1:13" ht="18" customHeight="1">
      <c r="A14" s="73" t="s">
        <v>2</v>
      </c>
      <c r="B14" s="72"/>
      <c r="C14" s="72"/>
      <c r="D14" s="72"/>
      <c r="E14" s="102"/>
      <c r="F14" s="102"/>
      <c r="G14" s="102"/>
      <c r="H14" s="102"/>
      <c r="I14" s="102"/>
      <c r="J14" s="110"/>
      <c r="K14" s="117" t="s">
        <v>88</v>
      </c>
      <c r="L14" s="109">
        <v>9400000</v>
      </c>
      <c r="M14" s="109">
        <v>5637398.9699999997</v>
      </c>
    </row>
    <row r="15" spans="1:13" ht="18" customHeight="1">
      <c r="A15" s="75" t="s">
        <v>3</v>
      </c>
      <c r="B15" s="48"/>
      <c r="C15" s="48"/>
      <c r="D15" s="48"/>
      <c r="E15" s="102"/>
      <c r="F15" s="102"/>
      <c r="G15" s="102"/>
      <c r="H15" s="102"/>
      <c r="I15" s="102"/>
      <c r="J15" s="110"/>
      <c r="L15" s="116">
        <f>SUM(L13:L14)</f>
        <v>30767644.399999999</v>
      </c>
      <c r="M15" s="116">
        <f>SUM(M13:M14)</f>
        <v>9808965.3699999992</v>
      </c>
    </row>
    <row r="16" spans="1:13" ht="18" customHeight="1">
      <c r="A16" s="76" t="s">
        <v>78</v>
      </c>
      <c r="B16" s="55"/>
      <c r="C16" s="55"/>
      <c r="D16" s="55"/>
      <c r="E16" s="103"/>
      <c r="F16" s="103"/>
      <c r="G16" s="103"/>
      <c r="H16" s="103"/>
      <c r="I16" s="103"/>
      <c r="J16" s="113"/>
      <c r="K16" s="46">
        <v>11930281.960000001</v>
      </c>
    </row>
    <row r="17" spans="1:14" ht="18" customHeight="1">
      <c r="A17" s="77" t="s">
        <v>79</v>
      </c>
      <c r="B17" s="72"/>
      <c r="C17" s="72"/>
      <c r="D17" s="72"/>
      <c r="E17" s="94"/>
      <c r="F17" s="94"/>
      <c r="G17" s="94"/>
      <c r="H17" s="94"/>
      <c r="I17" s="94"/>
      <c r="J17" s="113">
        <f>SUM(E17:I17)</f>
        <v>0</v>
      </c>
      <c r="K17" s="173">
        <f>K16-J16</f>
        <v>11930281.960000001</v>
      </c>
      <c r="M17" s="109">
        <v>25936573.030000001</v>
      </c>
    </row>
    <row r="18" spans="1:14" ht="18" customHeight="1">
      <c r="A18" s="70" t="s">
        <v>7</v>
      </c>
      <c r="B18" s="72"/>
      <c r="C18" s="72"/>
      <c r="D18" s="72"/>
      <c r="E18" s="119">
        <f>SUM(E13:E17)</f>
        <v>1033078.0388999998</v>
      </c>
      <c r="F18" s="119">
        <f t="shared" ref="F18:J18" si="0">SUM(F13:F17)</f>
        <v>2410515.4240999995</v>
      </c>
      <c r="G18" s="119">
        <f t="shared" si="0"/>
        <v>0</v>
      </c>
      <c r="H18" s="119">
        <f t="shared" si="0"/>
        <v>0</v>
      </c>
      <c r="I18" s="119">
        <f t="shared" si="0"/>
        <v>0</v>
      </c>
      <c r="J18" s="305">
        <f t="shared" si="0"/>
        <v>3443593.4629999995</v>
      </c>
      <c r="K18" s="166">
        <f t="shared" ref="K18:K45" si="1">SUM(E18:I18)</f>
        <v>3443593.4629999995</v>
      </c>
      <c r="L18" s="193" t="s">
        <v>171</v>
      </c>
      <c r="M18" s="192">
        <f>637389221.43-568517352.17</f>
        <v>68871869.25999999</v>
      </c>
    </row>
    <row r="19" spans="1:14" s="109" customFormat="1" ht="18" customHeight="1">
      <c r="A19" s="74" t="s">
        <v>99</v>
      </c>
      <c r="B19" s="72" t="s">
        <v>100</v>
      </c>
      <c r="C19" s="72"/>
      <c r="D19" s="72"/>
      <c r="E19" s="94">
        <f>SUM('DRRM Funds Sept2016'!E46)</f>
        <v>30221858.42255</v>
      </c>
      <c r="F19" s="94">
        <f>SUM('DRRM Funds Sept2016'!F46)</f>
        <v>29583321.75595</v>
      </c>
      <c r="G19" s="94">
        <f>SUM('DRRM Funds Sept2016'!G46)</f>
        <v>0</v>
      </c>
      <c r="H19" s="94">
        <f>SUM('DRRM Funds Sept2016'!H46)</f>
        <v>0</v>
      </c>
      <c r="I19" s="94">
        <f>SUM('DRRM Funds Sept2016'!I46)</f>
        <v>0</v>
      </c>
      <c r="J19" s="94">
        <f>SUM('DRRM Funds Sept2016'!J46)</f>
        <v>59805180.178499997</v>
      </c>
      <c r="K19" s="166">
        <f t="shared" si="1"/>
        <v>59805180.178499997</v>
      </c>
      <c r="L19" s="194">
        <v>0.05</v>
      </c>
      <c r="M19" s="269">
        <f>M18*0.05</f>
        <v>3443593.4629999995</v>
      </c>
    </row>
    <row r="20" spans="1:14" s="109" customFormat="1" ht="18" customHeight="1">
      <c r="A20" s="70" t="s">
        <v>101</v>
      </c>
      <c r="B20" s="122"/>
      <c r="C20" s="72"/>
      <c r="D20" s="72"/>
      <c r="E20" s="119">
        <f>SUM(E18:E19)</f>
        <v>31254936.461449999</v>
      </c>
      <c r="F20" s="119">
        <f t="shared" ref="F20:J20" si="2">SUM(F18:F19)</f>
        <v>31993837.180050001</v>
      </c>
      <c r="G20" s="119">
        <f t="shared" si="2"/>
        <v>0</v>
      </c>
      <c r="H20" s="119">
        <f t="shared" si="2"/>
        <v>0</v>
      </c>
      <c r="I20" s="119">
        <f t="shared" si="2"/>
        <v>0</v>
      </c>
      <c r="J20" s="119">
        <f t="shared" si="2"/>
        <v>63248773.641499996</v>
      </c>
      <c r="K20" s="166">
        <f t="shared" si="1"/>
        <v>63248773.641499996</v>
      </c>
    </row>
    <row r="21" spans="1:14" ht="18" customHeight="1">
      <c r="A21" s="70" t="s">
        <v>15</v>
      </c>
      <c r="B21" s="72"/>
      <c r="C21" s="72"/>
      <c r="D21" s="72"/>
      <c r="E21" s="94"/>
      <c r="F21" s="94"/>
      <c r="G21" s="94"/>
      <c r="H21" s="94"/>
      <c r="I21" s="94"/>
      <c r="J21" s="114"/>
      <c r="K21" s="166">
        <f t="shared" si="1"/>
        <v>0</v>
      </c>
      <c r="M21" s="109">
        <v>26972032.48</v>
      </c>
    </row>
    <row r="22" spans="1:14" ht="18" customHeight="1">
      <c r="A22" s="77" t="s">
        <v>206</v>
      </c>
      <c r="B22" s="263"/>
      <c r="C22" s="263"/>
      <c r="D22" s="263"/>
      <c r="E22" s="94"/>
      <c r="F22" s="94"/>
      <c r="G22" s="94"/>
      <c r="H22" s="94"/>
      <c r="I22" s="94"/>
      <c r="J22" s="114">
        <f>SUM(E22:I22)</f>
        <v>0</v>
      </c>
      <c r="K22" s="166"/>
    </row>
    <row r="23" spans="1:14" ht="18" customHeight="1">
      <c r="A23" s="77" t="s">
        <v>251</v>
      </c>
      <c r="B23" s="263"/>
      <c r="C23" s="263"/>
      <c r="D23" s="263"/>
      <c r="E23" s="94"/>
      <c r="F23" s="94">
        <v>415</v>
      </c>
      <c r="G23" s="94"/>
      <c r="H23" s="94"/>
      <c r="I23" s="94"/>
      <c r="J23" s="114">
        <f t="shared" ref="J23:J42" si="3">SUM(E23:I23)</f>
        <v>415</v>
      </c>
      <c r="K23" s="166">
        <f t="shared" si="1"/>
        <v>415</v>
      </c>
      <c r="L23" s="176">
        <f>518731460.56*0.05</f>
        <v>25936573.028000001</v>
      </c>
      <c r="M23" s="109">
        <v>125607.13</v>
      </c>
    </row>
    <row r="24" spans="1:14" ht="18" customHeight="1">
      <c r="A24" s="290" t="s">
        <v>229</v>
      </c>
      <c r="B24" s="291"/>
      <c r="C24" s="291"/>
      <c r="D24" s="291"/>
      <c r="E24" s="292"/>
      <c r="F24" s="292">
        <v>6827.5</v>
      </c>
      <c r="G24" s="292"/>
      <c r="H24" s="292"/>
      <c r="I24" s="292"/>
      <c r="J24" s="114">
        <f t="shared" si="3"/>
        <v>6827.5</v>
      </c>
      <c r="K24" s="166"/>
      <c r="L24" s="228"/>
    </row>
    <row r="25" spans="1:14" ht="18" customHeight="1">
      <c r="A25" s="290" t="s">
        <v>252</v>
      </c>
      <c r="B25" s="291"/>
      <c r="C25" s="291"/>
      <c r="D25" s="291"/>
      <c r="E25" s="292"/>
      <c r="F25" s="292">
        <v>123007.3</v>
      </c>
      <c r="G25" s="292"/>
      <c r="H25" s="292"/>
      <c r="I25" s="292"/>
      <c r="J25" s="114">
        <f t="shared" si="3"/>
        <v>123007.3</v>
      </c>
      <c r="K25" s="166">
        <f t="shared" si="1"/>
        <v>123007.3</v>
      </c>
      <c r="M25" s="232" t="s">
        <v>236</v>
      </c>
    </row>
    <row r="26" spans="1:14" ht="18" customHeight="1">
      <c r="A26" s="290" t="s">
        <v>276</v>
      </c>
      <c r="B26" s="291"/>
      <c r="C26" s="291"/>
      <c r="D26" s="291"/>
      <c r="E26" s="292"/>
      <c r="F26" s="292">
        <v>453728.98</v>
      </c>
      <c r="G26" s="292"/>
      <c r="H26" s="292"/>
      <c r="I26" s="292"/>
      <c r="J26" s="114">
        <f t="shared" si="3"/>
        <v>453728.98</v>
      </c>
      <c r="K26" s="166">
        <f t="shared" si="1"/>
        <v>453728.98</v>
      </c>
      <c r="M26" s="229">
        <v>275607.13</v>
      </c>
      <c r="N26" s="46" t="s">
        <v>230</v>
      </c>
    </row>
    <row r="27" spans="1:14" ht="18" customHeight="1">
      <c r="A27" s="293" t="s">
        <v>275</v>
      </c>
      <c r="B27" s="291"/>
      <c r="C27" s="291"/>
      <c r="D27" s="291"/>
      <c r="E27" s="292"/>
      <c r="F27" s="292"/>
      <c r="G27" s="292"/>
      <c r="H27" s="292"/>
      <c r="I27" s="292"/>
      <c r="J27" s="114">
        <f t="shared" si="3"/>
        <v>0</v>
      </c>
      <c r="K27" s="166">
        <f t="shared" si="1"/>
        <v>0</v>
      </c>
      <c r="M27" s="229">
        <v>695000</v>
      </c>
      <c r="N27" s="46" t="s">
        <v>232</v>
      </c>
    </row>
    <row r="28" spans="1:14" ht="18" customHeight="1">
      <c r="A28" s="290" t="s">
        <v>274</v>
      </c>
      <c r="B28" s="291"/>
      <c r="C28" s="291"/>
      <c r="D28" s="291"/>
      <c r="E28" s="292"/>
      <c r="F28" s="292"/>
      <c r="G28" s="292"/>
      <c r="H28" s="292"/>
      <c r="I28" s="292"/>
      <c r="J28" s="114">
        <f t="shared" si="3"/>
        <v>0</v>
      </c>
      <c r="K28" s="166">
        <f t="shared" si="1"/>
        <v>0</v>
      </c>
      <c r="M28" s="229">
        <v>1470000</v>
      </c>
      <c r="N28" s="46" t="s">
        <v>233</v>
      </c>
    </row>
    <row r="29" spans="1:14" ht="18" customHeight="1">
      <c r="A29" s="290" t="s">
        <v>227</v>
      </c>
      <c r="B29" s="291"/>
      <c r="C29" s="291"/>
      <c r="D29" s="291"/>
      <c r="E29" s="292"/>
      <c r="F29" s="292"/>
      <c r="G29" s="292"/>
      <c r="H29" s="292"/>
      <c r="I29" s="292"/>
      <c r="J29" s="114">
        <f t="shared" si="3"/>
        <v>0</v>
      </c>
      <c r="K29" s="166">
        <f t="shared" si="1"/>
        <v>0</v>
      </c>
      <c r="L29" s="325"/>
      <c r="M29" s="229">
        <v>3071228.76</v>
      </c>
      <c r="N29" s="46" t="s">
        <v>231</v>
      </c>
    </row>
    <row r="30" spans="1:14" ht="18" customHeight="1">
      <c r="A30" s="290" t="s">
        <v>273</v>
      </c>
      <c r="B30" s="291"/>
      <c r="C30" s="291"/>
      <c r="D30" s="291"/>
      <c r="E30" s="292"/>
      <c r="F30" s="292"/>
      <c r="G30" s="292"/>
      <c r="H30" s="292"/>
      <c r="I30" s="292"/>
      <c r="J30" s="114">
        <f t="shared" si="3"/>
        <v>0</v>
      </c>
      <c r="K30" s="166"/>
      <c r="L30" s="325"/>
      <c r="M30" s="229">
        <v>5009130</v>
      </c>
      <c r="N30" s="46" t="s">
        <v>234</v>
      </c>
    </row>
    <row r="31" spans="1:14" ht="18" customHeight="1">
      <c r="A31" s="290" t="s">
        <v>213</v>
      </c>
      <c r="B31" s="291"/>
      <c r="C31" s="291"/>
      <c r="D31" s="291"/>
      <c r="E31" s="292"/>
      <c r="F31" s="292"/>
      <c r="G31" s="292"/>
      <c r="H31" s="292"/>
      <c r="I31" s="292"/>
      <c r="J31" s="114">
        <f t="shared" si="3"/>
        <v>0</v>
      </c>
      <c r="K31" s="166"/>
      <c r="L31" s="325"/>
      <c r="M31" s="230">
        <v>1900100</v>
      </c>
      <c r="N31" s="46" t="s">
        <v>235</v>
      </c>
    </row>
    <row r="32" spans="1:14" ht="18" customHeight="1">
      <c r="A32" s="290" t="s">
        <v>250</v>
      </c>
      <c r="B32" s="291"/>
      <c r="C32" s="291"/>
      <c r="D32" s="291"/>
      <c r="E32" s="292"/>
      <c r="F32" s="292">
        <v>4548</v>
      </c>
      <c r="G32" s="292"/>
      <c r="H32" s="292"/>
      <c r="I32" s="292"/>
      <c r="J32" s="114">
        <f t="shared" si="3"/>
        <v>4548</v>
      </c>
      <c r="K32" s="166"/>
      <c r="L32" s="325"/>
      <c r="M32" s="289">
        <f>SUM(M26:M31)</f>
        <v>12421065.890000001</v>
      </c>
    </row>
    <row r="33" spans="1:13" ht="18" customHeight="1">
      <c r="A33" s="290" t="s">
        <v>214</v>
      </c>
      <c r="B33" s="291"/>
      <c r="C33" s="291"/>
      <c r="D33" s="291"/>
      <c r="E33" s="292"/>
      <c r="F33" s="292"/>
      <c r="G33" s="292"/>
      <c r="H33" s="292"/>
      <c r="I33" s="292"/>
      <c r="J33" s="114">
        <f t="shared" si="3"/>
        <v>0</v>
      </c>
      <c r="K33" s="227"/>
      <c r="L33" s="325"/>
    </row>
    <row r="34" spans="1:13" ht="18" customHeight="1">
      <c r="A34" s="290" t="s">
        <v>249</v>
      </c>
      <c r="B34" s="291"/>
      <c r="C34" s="291"/>
      <c r="D34" s="291"/>
      <c r="E34" s="292"/>
      <c r="F34" s="292"/>
      <c r="G34" s="292"/>
      <c r="H34" s="292"/>
      <c r="I34" s="292"/>
      <c r="J34" s="114">
        <f t="shared" si="3"/>
        <v>0</v>
      </c>
      <c r="K34" s="265"/>
      <c r="L34" s="325"/>
    </row>
    <row r="35" spans="1:13" ht="18" customHeight="1">
      <c r="A35" s="290" t="s">
        <v>222</v>
      </c>
      <c r="B35" s="291"/>
      <c r="C35" s="291"/>
      <c r="D35" s="291"/>
      <c r="E35" s="292"/>
      <c r="F35" s="292"/>
      <c r="G35" s="292"/>
      <c r="H35" s="292"/>
      <c r="I35" s="292"/>
      <c r="J35" s="114">
        <f t="shared" si="3"/>
        <v>0</v>
      </c>
      <c r="K35" s="266">
        <f t="shared" si="1"/>
        <v>0</v>
      </c>
      <c r="L35" s="109">
        <f>SUM(F29:F35)</f>
        <v>4548</v>
      </c>
    </row>
    <row r="36" spans="1:13" ht="18" customHeight="1">
      <c r="A36" s="290" t="s">
        <v>223</v>
      </c>
      <c r="B36" s="291"/>
      <c r="C36" s="291"/>
      <c r="D36" s="291"/>
      <c r="E36" s="292"/>
      <c r="F36" s="292"/>
      <c r="G36" s="292"/>
      <c r="H36" s="292"/>
      <c r="I36" s="292"/>
      <c r="J36" s="114">
        <f t="shared" si="3"/>
        <v>0</v>
      </c>
      <c r="K36" s="166">
        <f t="shared" si="1"/>
        <v>0</v>
      </c>
      <c r="L36" s="109">
        <v>147060</v>
      </c>
    </row>
    <row r="37" spans="1:13" ht="18" customHeight="1">
      <c r="A37" s="290" t="s">
        <v>168</v>
      </c>
      <c r="B37" s="291"/>
      <c r="C37" s="291"/>
      <c r="D37" s="291"/>
      <c r="E37" s="292"/>
      <c r="F37" s="292"/>
      <c r="G37" s="292"/>
      <c r="H37" s="292"/>
      <c r="I37" s="292"/>
      <c r="J37" s="114">
        <f t="shared" si="3"/>
        <v>0</v>
      </c>
      <c r="K37" s="166">
        <f t="shared" si="1"/>
        <v>0</v>
      </c>
    </row>
    <row r="38" spans="1:13" ht="18" customHeight="1">
      <c r="A38" s="290" t="s">
        <v>293</v>
      </c>
      <c r="B38" s="291"/>
      <c r="C38" s="291"/>
      <c r="D38" s="291"/>
      <c r="E38" s="292"/>
      <c r="F38" s="292"/>
      <c r="G38" s="292"/>
      <c r="H38" s="292"/>
      <c r="I38" s="292"/>
      <c r="J38" s="114">
        <f t="shared" si="3"/>
        <v>0</v>
      </c>
      <c r="K38" s="166">
        <f t="shared" si="1"/>
        <v>0</v>
      </c>
      <c r="L38" s="109">
        <v>1555500</v>
      </c>
    </row>
    <row r="39" spans="1:13" ht="18" customHeight="1">
      <c r="A39" s="290" t="s">
        <v>207</v>
      </c>
      <c r="B39" s="291"/>
      <c r="C39" s="291"/>
      <c r="D39" s="291"/>
      <c r="E39" s="292"/>
      <c r="F39" s="292">
        <v>33121.25</v>
      </c>
      <c r="G39" s="292"/>
      <c r="H39" s="292"/>
      <c r="I39" s="292"/>
      <c r="J39" s="114">
        <f t="shared" si="3"/>
        <v>33121.25</v>
      </c>
      <c r="K39" s="166"/>
    </row>
    <row r="40" spans="1:13" ht="18" customHeight="1">
      <c r="A40" s="83" t="s">
        <v>94</v>
      </c>
      <c r="B40" s="263"/>
      <c r="C40" s="263"/>
      <c r="D40" s="263"/>
      <c r="E40" s="94"/>
      <c r="F40" s="94"/>
      <c r="G40" s="94"/>
      <c r="H40" s="94"/>
      <c r="I40" s="94"/>
      <c r="J40" s="114">
        <f t="shared" si="3"/>
        <v>0</v>
      </c>
      <c r="K40" s="166">
        <f t="shared" si="1"/>
        <v>0</v>
      </c>
      <c r="L40" s="109">
        <v>177000</v>
      </c>
    </row>
    <row r="41" spans="1:13" ht="18" customHeight="1">
      <c r="A41" s="83" t="s">
        <v>95</v>
      </c>
      <c r="B41" s="263"/>
      <c r="C41" s="263"/>
      <c r="D41" s="263"/>
      <c r="E41" s="94"/>
      <c r="F41" s="94"/>
      <c r="G41" s="94"/>
      <c r="H41" s="94"/>
      <c r="I41" s="94"/>
      <c r="J41" s="114">
        <f t="shared" si="3"/>
        <v>0</v>
      </c>
      <c r="K41" s="166">
        <f t="shared" si="1"/>
        <v>0</v>
      </c>
      <c r="L41" s="109">
        <v>204055</v>
      </c>
    </row>
    <row r="42" spans="1:13" ht="18" customHeight="1">
      <c r="A42" s="77" t="s">
        <v>96</v>
      </c>
      <c r="B42" s="263"/>
      <c r="C42" s="263"/>
      <c r="D42" s="263"/>
      <c r="E42" s="94"/>
      <c r="F42" s="102"/>
      <c r="G42" s="94"/>
      <c r="H42" s="94"/>
      <c r="I42" s="94"/>
      <c r="J42" s="114">
        <f t="shared" si="3"/>
        <v>0</v>
      </c>
      <c r="K42" s="166">
        <f t="shared" si="1"/>
        <v>0</v>
      </c>
      <c r="L42" s="109">
        <v>71070</v>
      </c>
    </row>
    <row r="43" spans="1:13" ht="18" customHeight="1">
      <c r="A43" s="84" t="s">
        <v>92</v>
      </c>
      <c r="B43" s="63"/>
      <c r="C43" s="63"/>
      <c r="D43" s="63"/>
      <c r="E43" s="89">
        <f>SUM(E22:E42)</f>
        <v>0</v>
      </c>
      <c r="F43" s="303">
        <f t="shared" ref="F43:J43" si="4">SUM(F22:F42)</f>
        <v>621648.03</v>
      </c>
      <c r="G43" s="304">
        <f>SUM(G22:G42)</f>
        <v>0</v>
      </c>
      <c r="H43" s="94">
        <f t="shared" si="4"/>
        <v>0</v>
      </c>
      <c r="I43" s="94">
        <f t="shared" si="4"/>
        <v>0</v>
      </c>
      <c r="J43" s="292">
        <f t="shared" si="4"/>
        <v>621648.03</v>
      </c>
      <c r="K43" s="166">
        <f t="shared" si="1"/>
        <v>621648.03</v>
      </c>
      <c r="L43" s="109">
        <v>27800</v>
      </c>
      <c r="M43" s="46"/>
    </row>
    <row r="44" spans="1:13" ht="18" customHeight="1">
      <c r="A44" s="84" t="s">
        <v>103</v>
      </c>
      <c r="B44" s="63"/>
      <c r="C44" s="63"/>
      <c r="D44" s="63"/>
      <c r="E44" s="103">
        <f>SUM('DRRM Funds Sept2016'!E45)</f>
        <v>0</v>
      </c>
      <c r="F44" s="103">
        <f>SUM('DRRM Funds Sept2016'!F45)</f>
        <v>10406727.550000001</v>
      </c>
      <c r="G44" s="103">
        <f>SUM('DRRM Funds Sept2016'!G45)</f>
        <v>0</v>
      </c>
      <c r="H44" s="103">
        <f>SUM('DRRM Funds Sept2016'!H45)</f>
        <v>0</v>
      </c>
      <c r="I44" s="103">
        <f>SUM('DRRM Funds Sept2016'!I45)</f>
        <v>0</v>
      </c>
      <c r="J44" s="103">
        <f>SUM('DRRM Funds Sept2016'!J45)</f>
        <v>10406727.550000001</v>
      </c>
      <c r="K44" s="166">
        <f t="shared" si="1"/>
        <v>10406727.550000001</v>
      </c>
      <c r="L44" s="109">
        <v>126865</v>
      </c>
      <c r="M44" s="109">
        <f>SUM(E44:H44)</f>
        <v>10406727.550000001</v>
      </c>
    </row>
    <row r="45" spans="1:13" ht="18" customHeight="1">
      <c r="A45" s="84" t="s">
        <v>104</v>
      </c>
      <c r="B45" s="63"/>
      <c r="C45" s="63"/>
      <c r="D45" s="63"/>
      <c r="E45" s="103">
        <f>SUM(E43:E44)</f>
        <v>0</v>
      </c>
      <c r="F45" s="103">
        <f t="shared" ref="F45:J45" si="5">SUM(F43:F44)</f>
        <v>11028375.58</v>
      </c>
      <c r="G45" s="103">
        <f t="shared" si="5"/>
        <v>0</v>
      </c>
      <c r="H45" s="103">
        <f t="shared" si="5"/>
        <v>0</v>
      </c>
      <c r="I45" s="103">
        <f t="shared" si="5"/>
        <v>0</v>
      </c>
      <c r="J45" s="103">
        <f t="shared" si="5"/>
        <v>11028375.58</v>
      </c>
      <c r="K45" s="166">
        <f t="shared" si="1"/>
        <v>11028375.58</v>
      </c>
      <c r="L45" s="174">
        <f>SUM(L35:L44)</f>
        <v>2313898</v>
      </c>
      <c r="M45" s="109">
        <v>10492358.970000001</v>
      </c>
    </row>
    <row r="46" spans="1:13" ht="18" customHeight="1">
      <c r="A46" s="70" t="s">
        <v>93</v>
      </c>
      <c r="B46" s="72"/>
      <c r="C46" s="72"/>
      <c r="D46" s="80"/>
      <c r="E46" s="231">
        <f t="shared" ref="E46:J46" si="6">E20-E43</f>
        <v>31254936.461449999</v>
      </c>
      <c r="F46" s="231">
        <f t="shared" si="6"/>
        <v>31372189.150049999</v>
      </c>
      <c r="G46" s="231">
        <f>G20-G43</f>
        <v>0</v>
      </c>
      <c r="H46" s="231">
        <f t="shared" si="6"/>
        <v>0</v>
      </c>
      <c r="I46" s="231">
        <f t="shared" si="6"/>
        <v>0</v>
      </c>
      <c r="J46" s="231">
        <f t="shared" si="6"/>
        <v>62627125.611499995</v>
      </c>
      <c r="K46" s="166">
        <f>SUM(E46:I46)</f>
        <v>62627125.611499995</v>
      </c>
      <c r="L46" s="46"/>
      <c r="M46" s="109">
        <f>M45-L45</f>
        <v>8178460.9700000007</v>
      </c>
    </row>
    <row r="47" spans="1:13" ht="18" customHeight="1">
      <c r="A47" s="55"/>
      <c r="B47" s="55"/>
      <c r="C47" s="55"/>
      <c r="D47" s="55"/>
      <c r="E47" s="55"/>
      <c r="F47" s="55"/>
      <c r="G47" s="55"/>
      <c r="H47" s="55"/>
      <c r="I47" s="55"/>
      <c r="J47" s="115" t="s">
        <v>74</v>
      </c>
      <c r="K47" s="92">
        <f>SUM(E46:F46)</f>
        <v>62627125.611499995</v>
      </c>
      <c r="M47" s="109">
        <v>0</v>
      </c>
    </row>
    <row r="48" spans="1:13">
      <c r="A48" s="55" t="s">
        <v>83</v>
      </c>
      <c r="B48" s="55"/>
      <c r="C48" s="55"/>
      <c r="D48" s="55"/>
      <c r="E48" s="55"/>
      <c r="F48" s="55"/>
      <c r="G48" s="55"/>
      <c r="H48" s="55" t="s">
        <v>29</v>
      </c>
      <c r="I48" s="55"/>
      <c r="J48" s="115"/>
      <c r="K48" s="55"/>
      <c r="L48" s="109">
        <v>752760</v>
      </c>
    </row>
    <row r="49" spans="1:13">
      <c r="A49" s="55"/>
      <c r="B49" s="55"/>
      <c r="C49" s="55"/>
      <c r="D49" s="55"/>
      <c r="E49" s="55"/>
      <c r="F49" s="55"/>
      <c r="G49" s="55"/>
      <c r="H49" s="55"/>
      <c r="I49" s="55"/>
      <c r="J49" s="115"/>
      <c r="K49" s="55"/>
      <c r="L49" s="109">
        <v>902075</v>
      </c>
    </row>
    <row r="50" spans="1:13">
      <c r="A50" s="82" t="s">
        <v>202</v>
      </c>
      <c r="B50" s="55"/>
      <c r="C50" s="55"/>
      <c r="D50" s="55"/>
      <c r="E50" s="55"/>
      <c r="F50" s="55"/>
      <c r="G50" s="55"/>
      <c r="H50" s="241" t="s">
        <v>72</v>
      </c>
      <c r="I50" s="55"/>
      <c r="J50" s="115"/>
      <c r="K50" s="55"/>
      <c r="L50" s="109">
        <v>504234.65</v>
      </c>
      <c r="M50" s="109">
        <v>8736531.7100000009</v>
      </c>
    </row>
    <row r="51" spans="1:13">
      <c r="A51" s="140" t="s">
        <v>287</v>
      </c>
      <c r="B51" s="55"/>
      <c r="C51" s="55"/>
      <c r="D51" s="55"/>
      <c r="E51" s="55"/>
      <c r="F51" s="55"/>
      <c r="G51" s="55"/>
      <c r="H51" s="140" t="s">
        <v>85</v>
      </c>
      <c r="I51" s="55"/>
      <c r="J51" s="115"/>
      <c r="K51" s="55"/>
      <c r="L51" s="109">
        <v>899145</v>
      </c>
      <c r="M51" s="109">
        <v>10140</v>
      </c>
    </row>
    <row r="52" spans="1:13">
      <c r="A52" s="55"/>
      <c r="B52" s="55"/>
      <c r="C52" s="55"/>
      <c r="D52" s="55"/>
      <c r="E52" s="121" t="s">
        <v>237</v>
      </c>
      <c r="F52" s="55"/>
      <c r="G52" s="55"/>
      <c r="H52" s="55"/>
      <c r="I52" s="55"/>
      <c r="J52" s="115"/>
      <c r="K52" s="55"/>
      <c r="L52" s="109">
        <v>1087927.3999999999</v>
      </c>
      <c r="M52" s="109">
        <f>SUM(M50:M51)</f>
        <v>8746671.7100000009</v>
      </c>
    </row>
    <row r="53" spans="1:13">
      <c r="A53" s="55"/>
      <c r="B53" s="55"/>
      <c r="C53" s="55"/>
      <c r="D53" s="55"/>
      <c r="E53" s="115"/>
      <c r="F53" s="55"/>
      <c r="G53" s="55"/>
      <c r="H53" s="55"/>
      <c r="I53" s="115"/>
      <c r="J53" s="115"/>
      <c r="K53" s="55"/>
      <c r="L53" s="109">
        <v>2896515.5</v>
      </c>
    </row>
    <row r="54" spans="1:13">
      <c r="A54" s="55"/>
      <c r="B54" s="55"/>
      <c r="C54" s="55"/>
      <c r="D54" s="55"/>
      <c r="E54" s="82" t="s">
        <v>298</v>
      </c>
      <c r="F54" s="55"/>
      <c r="G54" s="55"/>
      <c r="H54" s="55"/>
      <c r="I54" s="115"/>
      <c r="J54" s="115"/>
      <c r="K54" s="55"/>
    </row>
    <row r="55" spans="1:13">
      <c r="A55" s="55"/>
      <c r="B55" s="55"/>
      <c r="C55" s="55"/>
      <c r="D55" s="55"/>
      <c r="E55" s="55" t="s">
        <v>299</v>
      </c>
      <c r="F55" s="55"/>
      <c r="G55" s="55"/>
      <c r="H55" s="55"/>
      <c r="I55" s="115"/>
      <c r="J55" s="115"/>
      <c r="K55" s="55"/>
      <c r="L55" s="109">
        <v>120000</v>
      </c>
    </row>
    <row r="56" spans="1:13">
      <c r="I56" s="109"/>
      <c r="M56" s="46"/>
    </row>
    <row r="57" spans="1:13">
      <c r="F57" s="121"/>
      <c r="I57" s="109"/>
      <c r="K57" s="55"/>
      <c r="L57" s="115">
        <v>630000</v>
      </c>
      <c r="M57" s="183">
        <v>10644424.82</v>
      </c>
    </row>
    <row r="58" spans="1:13">
      <c r="B58" s="276" t="s">
        <v>236</v>
      </c>
      <c r="F58" s="115"/>
      <c r="I58" s="109"/>
      <c r="J58" s="109">
        <v>7850000</v>
      </c>
      <c r="L58" s="109">
        <v>1000000</v>
      </c>
      <c r="M58" s="183">
        <v>13157941.960000001</v>
      </c>
    </row>
    <row r="59" spans="1:13">
      <c r="I59" s="109"/>
      <c r="J59" s="109">
        <v>800000</v>
      </c>
      <c r="L59" s="109">
        <v>1300000</v>
      </c>
      <c r="M59" s="184">
        <v>0</v>
      </c>
    </row>
    <row r="60" spans="1:13">
      <c r="A60" s="46" t="s">
        <v>282</v>
      </c>
      <c r="B60" s="392">
        <f>1493800+99900</f>
        <v>1593700</v>
      </c>
      <c r="C60" s="392"/>
      <c r="I60" s="109"/>
      <c r="J60" s="109">
        <v>1200000</v>
      </c>
      <c r="L60" s="109">
        <v>2000000</v>
      </c>
      <c r="M60" s="183">
        <f>SUM(M57:M59)</f>
        <v>23802366.780000001</v>
      </c>
    </row>
    <row r="61" spans="1:13">
      <c r="A61" s="46" t="s">
        <v>281</v>
      </c>
      <c r="B61" s="392">
        <v>1400000</v>
      </c>
      <c r="C61" s="392"/>
      <c r="I61" s="109"/>
      <c r="J61" s="109">
        <v>3500000</v>
      </c>
      <c r="L61" s="109">
        <v>150000</v>
      </c>
      <c r="M61" s="183">
        <v>24092226.780000001</v>
      </c>
    </row>
    <row r="62" spans="1:13">
      <c r="A62" s="46" t="s">
        <v>258</v>
      </c>
      <c r="B62" s="393">
        <v>1975000</v>
      </c>
      <c r="C62" s="393"/>
      <c r="I62" s="109">
        <v>100000</v>
      </c>
      <c r="J62" s="116">
        <f>SUM(J58:J61)</f>
        <v>13350000</v>
      </c>
      <c r="L62" s="109">
        <v>4590281.96</v>
      </c>
      <c r="M62" s="183">
        <f>M61-M60</f>
        <v>289860</v>
      </c>
    </row>
    <row r="63" spans="1:13">
      <c r="A63" s="46" t="s">
        <v>283</v>
      </c>
      <c r="B63" s="387">
        <v>1214184.3500000001</v>
      </c>
      <c r="C63" s="387"/>
      <c r="I63" s="109">
        <v>4589687.1100000003</v>
      </c>
      <c r="J63" s="109">
        <v>16829861.079999998</v>
      </c>
      <c r="L63" s="109">
        <f>SUM(L57:L62)</f>
        <v>9670281.9600000009</v>
      </c>
      <c r="M63" s="46"/>
    </row>
    <row r="64" spans="1:13">
      <c r="B64" s="388">
        <f>SUM(B60:C63)</f>
        <v>6182884.3499999996</v>
      </c>
      <c r="C64" s="388"/>
      <c r="I64" s="116">
        <f>SUM(I58:I63)</f>
        <v>4689687.1100000003</v>
      </c>
      <c r="J64" s="109">
        <f>J62-J63</f>
        <v>-3479861.0799999982</v>
      </c>
      <c r="M64" s="109">
        <v>24416573.030000001</v>
      </c>
    </row>
    <row r="65" spans="1:13">
      <c r="I65" s="109">
        <v>7212797.6100000003</v>
      </c>
      <c r="M65" s="109">
        <v>24708913.030000001</v>
      </c>
    </row>
    <row r="66" spans="1:13">
      <c r="I66" s="109">
        <f>I64-I65</f>
        <v>-2523110.5</v>
      </c>
      <c r="M66" s="109">
        <f>M64-M65</f>
        <v>-292340</v>
      </c>
    </row>
    <row r="67" spans="1:13">
      <c r="I67" s="109"/>
      <c r="M67" s="109">
        <v>289860</v>
      </c>
    </row>
    <row r="68" spans="1:13">
      <c r="I68" s="109"/>
      <c r="J68" s="109">
        <v>25346381.800000001</v>
      </c>
      <c r="M68" s="173">
        <f>SUM(M66:M67)</f>
        <v>-2480</v>
      </c>
    </row>
    <row r="69" spans="1:13">
      <c r="I69" s="109"/>
      <c r="J69" s="109">
        <v>24042658.690000001</v>
      </c>
      <c r="M69" s="46"/>
    </row>
    <row r="70" spans="1:13">
      <c r="I70" s="109"/>
      <c r="J70" s="109">
        <f>J68-J69</f>
        <v>1303723.1099999994</v>
      </c>
      <c r="L70" s="109">
        <v>400000</v>
      </c>
      <c r="M70" s="46"/>
    </row>
    <row r="71" spans="1:13">
      <c r="I71" s="109"/>
      <c r="L71" s="109">
        <v>1000000</v>
      </c>
      <c r="M71" s="109">
        <v>25279.7</v>
      </c>
    </row>
    <row r="72" spans="1:13">
      <c r="I72" s="109"/>
      <c r="M72" s="109">
        <v>27759.7</v>
      </c>
    </row>
    <row r="73" spans="1:13">
      <c r="H73" s="109"/>
      <c r="I73" s="109"/>
      <c r="M73" s="173">
        <f>M71-M72</f>
        <v>-2480</v>
      </c>
    </row>
    <row r="74" spans="1:13">
      <c r="H74" s="109">
        <v>4455551.57</v>
      </c>
      <c r="I74" s="109"/>
      <c r="J74" s="109">
        <v>17496381.800000001</v>
      </c>
      <c r="M74" s="46"/>
    </row>
    <row r="75" spans="1:13">
      <c r="H75" s="109">
        <v>5760963.6399999997</v>
      </c>
      <c r="I75" s="109"/>
      <c r="J75" s="109">
        <v>7850000</v>
      </c>
      <c r="M75" s="46"/>
    </row>
    <row r="76" spans="1:13">
      <c r="H76" s="109">
        <f>SUM(H74:H75)</f>
        <v>10216515.210000001</v>
      </c>
      <c r="I76" s="109"/>
      <c r="J76" s="109">
        <f>SUM(J74:J75)</f>
        <v>25346381.800000001</v>
      </c>
      <c r="M76" s="46"/>
    </row>
    <row r="77" spans="1:13" s="109" customFormat="1">
      <c r="A77" s="46"/>
      <c r="B77" s="46"/>
      <c r="C77" s="46"/>
      <c r="D77" s="46"/>
      <c r="E77" s="46"/>
      <c r="F77" s="46"/>
      <c r="G77" s="46"/>
    </row>
    <row r="78" spans="1:13" s="109" customFormat="1">
      <c r="A78" s="46"/>
      <c r="B78" s="46"/>
      <c r="C78" s="46"/>
      <c r="D78" s="46"/>
      <c r="E78" s="46"/>
      <c r="F78" s="46"/>
      <c r="G78" s="46"/>
    </row>
    <row r="79" spans="1:13" s="109" customFormat="1">
      <c r="A79" s="46"/>
      <c r="B79" s="46"/>
      <c r="C79" s="46"/>
      <c r="D79" s="46"/>
      <c r="E79" s="46"/>
      <c r="F79" s="46"/>
      <c r="G79" s="46"/>
    </row>
    <row r="80" spans="1:13" s="109" customFormat="1">
      <c r="A80" s="46"/>
      <c r="B80" s="46"/>
      <c r="C80" s="46"/>
      <c r="D80" s="46"/>
      <c r="E80" s="46"/>
      <c r="F80" s="46"/>
      <c r="G80" s="46"/>
    </row>
    <row r="81" spans="1:11" s="109" customFormat="1">
      <c r="A81" s="46"/>
      <c r="B81" s="46"/>
      <c r="C81" s="46"/>
      <c r="D81" s="46"/>
      <c r="E81" s="46"/>
      <c r="F81" s="46"/>
      <c r="G81" s="46"/>
    </row>
    <row r="82" spans="1:11" s="109" customFormat="1">
      <c r="A82" s="46"/>
      <c r="B82" s="46"/>
      <c r="C82" s="46"/>
      <c r="D82" s="46"/>
      <c r="E82" s="46"/>
      <c r="F82" s="46"/>
      <c r="G82" s="46"/>
    </row>
    <row r="83" spans="1:11" s="109" customFormat="1">
      <c r="A83" s="46"/>
      <c r="B83" s="46"/>
      <c r="C83" s="46"/>
      <c r="D83" s="46"/>
      <c r="E83" s="46"/>
      <c r="F83" s="46"/>
      <c r="G83" s="46"/>
      <c r="H83" s="46"/>
    </row>
    <row r="84" spans="1:11" s="109" customFormat="1">
      <c r="A84" s="46"/>
      <c r="B84" s="46"/>
      <c r="C84" s="46"/>
      <c r="D84" s="46"/>
      <c r="E84" s="46"/>
      <c r="F84" s="46"/>
      <c r="G84" s="46"/>
      <c r="H84" s="46"/>
    </row>
    <row r="85" spans="1:11" s="109" customFormat="1">
      <c r="A85" s="46"/>
      <c r="B85" s="46"/>
      <c r="C85" s="46"/>
      <c r="D85" s="46"/>
      <c r="E85" s="46"/>
      <c r="F85" s="46"/>
      <c r="G85" s="46"/>
      <c r="H85" s="46"/>
    </row>
    <row r="86" spans="1:11" s="109" customFormat="1">
      <c r="A86" s="46"/>
      <c r="B86" s="46"/>
      <c r="C86" s="46"/>
      <c r="D86" s="46"/>
      <c r="E86" s="46"/>
      <c r="F86" s="46"/>
      <c r="G86" s="46"/>
      <c r="H86" s="46"/>
    </row>
    <row r="87" spans="1:11" s="109" customFormat="1">
      <c r="A87" s="46"/>
      <c r="B87" s="46"/>
      <c r="C87" s="46"/>
      <c r="D87" s="46"/>
      <c r="E87" s="46"/>
      <c r="F87" s="46"/>
      <c r="G87" s="46"/>
      <c r="H87" s="46"/>
      <c r="K87" s="46"/>
    </row>
    <row r="88" spans="1:11" s="109" customFormat="1">
      <c r="A88" s="46"/>
      <c r="B88" s="46"/>
      <c r="C88" s="46"/>
      <c r="D88" s="46"/>
      <c r="E88" s="46"/>
      <c r="F88" s="46"/>
      <c r="G88" s="46"/>
      <c r="H88" s="46"/>
      <c r="K88" s="46"/>
    </row>
    <row r="89" spans="1:11" s="109" customFormat="1">
      <c r="A89" s="46"/>
      <c r="B89" s="46"/>
      <c r="C89" s="46"/>
      <c r="D89" s="46"/>
      <c r="E89" s="46"/>
      <c r="F89" s="46"/>
      <c r="G89" s="46"/>
      <c r="H89" s="46"/>
      <c r="K89" s="46"/>
    </row>
    <row r="90" spans="1:11" s="109" customFormat="1">
      <c r="A90" s="46"/>
      <c r="B90" s="46"/>
      <c r="C90" s="46"/>
      <c r="D90" s="46"/>
      <c r="E90" s="46"/>
      <c r="F90" s="46"/>
      <c r="G90" s="46"/>
      <c r="H90" s="46"/>
      <c r="K90" s="46"/>
    </row>
    <row r="91" spans="1:11" s="109" customFormat="1">
      <c r="A91" s="46"/>
      <c r="B91" s="46"/>
      <c r="C91" s="46"/>
      <c r="D91" s="46"/>
      <c r="E91" s="46"/>
      <c r="F91" s="46"/>
      <c r="G91" s="46"/>
      <c r="H91" s="46"/>
      <c r="K91" s="46"/>
    </row>
    <row r="92" spans="1:11" s="109" customFormat="1">
      <c r="A92" s="46"/>
      <c r="B92" s="46"/>
      <c r="C92" s="46"/>
      <c r="D92" s="46"/>
      <c r="E92" s="46"/>
      <c r="F92" s="46"/>
      <c r="G92" s="46"/>
      <c r="H92" s="46"/>
      <c r="K92" s="46"/>
    </row>
    <row r="93" spans="1:11" s="109" customFormat="1">
      <c r="A93" s="46"/>
      <c r="B93" s="46"/>
      <c r="C93" s="46"/>
      <c r="D93" s="46"/>
      <c r="E93" s="46"/>
      <c r="F93" s="46"/>
      <c r="G93" s="46"/>
      <c r="H93" s="46"/>
      <c r="K93" s="46"/>
    </row>
    <row r="94" spans="1:11" s="109" customFormat="1">
      <c r="A94" s="46"/>
      <c r="B94" s="46"/>
      <c r="C94" s="46"/>
      <c r="D94" s="46"/>
      <c r="E94" s="46"/>
      <c r="F94" s="46"/>
      <c r="G94" s="46"/>
      <c r="H94" s="46"/>
      <c r="K94" s="46"/>
    </row>
    <row r="95" spans="1:11" s="109" customFormat="1">
      <c r="A95" s="46"/>
      <c r="B95" s="46"/>
      <c r="C95" s="46"/>
      <c r="D95" s="46"/>
      <c r="E95" s="46"/>
      <c r="F95" s="46"/>
      <c r="G95" s="46"/>
      <c r="H95" s="46"/>
      <c r="K95" s="46"/>
    </row>
    <row r="96" spans="1:11" s="109" customFormat="1">
      <c r="A96" s="46"/>
      <c r="B96" s="46"/>
      <c r="C96" s="46"/>
      <c r="D96" s="46"/>
      <c r="E96" s="46"/>
      <c r="F96" s="46"/>
      <c r="G96" s="46"/>
      <c r="H96" s="46"/>
      <c r="K96" s="46"/>
    </row>
    <row r="97" spans="1:11" s="109" customFormat="1">
      <c r="A97" s="46"/>
      <c r="B97" s="46"/>
      <c r="C97" s="46"/>
      <c r="D97" s="46"/>
      <c r="E97" s="46"/>
      <c r="F97" s="46"/>
      <c r="G97" s="46"/>
      <c r="H97" s="46"/>
      <c r="K97" s="46"/>
    </row>
    <row r="98" spans="1:11" s="109" customFormat="1">
      <c r="A98" s="46"/>
      <c r="B98" s="46"/>
      <c r="C98" s="46"/>
      <c r="D98" s="46"/>
      <c r="E98" s="46"/>
      <c r="F98" s="46"/>
      <c r="G98" s="46"/>
      <c r="H98" s="46"/>
      <c r="K98" s="46"/>
    </row>
    <row r="99" spans="1:11" s="109" customFormat="1">
      <c r="A99" s="46"/>
      <c r="B99" s="46"/>
      <c r="C99" s="46"/>
      <c r="D99" s="46"/>
      <c r="E99" s="46"/>
      <c r="F99" s="46"/>
      <c r="G99" s="46"/>
      <c r="H99" s="46"/>
      <c r="K99" s="46"/>
    </row>
  </sheetData>
  <mergeCells count="8">
    <mergeCell ref="B63:C63"/>
    <mergeCell ref="B64:C64"/>
    <mergeCell ref="A2:J2"/>
    <mergeCell ref="A3:J3"/>
    <mergeCell ref="A4:J4"/>
    <mergeCell ref="B60:C60"/>
    <mergeCell ref="B61:C61"/>
    <mergeCell ref="B62:C62"/>
  </mergeCells>
  <printOptions horizontalCentered="1"/>
  <pageMargins left="0.02" right="0.15" top="0.39" bottom="0.1" header="0.21" footer="0.1"/>
  <pageSetup scale="84" orientation="portrait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N99"/>
  <sheetViews>
    <sheetView workbookViewId="0">
      <selection activeCell="E21" sqref="E21"/>
    </sheetView>
  </sheetViews>
  <sheetFormatPr defaultRowHeight="12.75"/>
  <cols>
    <col min="1" max="1" width="6" style="46" customWidth="1"/>
    <col min="2" max="3" width="9.140625" style="46"/>
    <col min="4" max="4" width="16.5703125" style="46" customWidth="1"/>
    <col min="5" max="6" width="13.85546875" style="46" customWidth="1"/>
    <col min="7" max="7" width="10" style="46" customWidth="1"/>
    <col min="8" max="8" width="11.5703125" style="46" customWidth="1"/>
    <col min="9" max="9" width="11.42578125" style="46" customWidth="1"/>
    <col min="10" max="10" width="13.28515625" style="109" customWidth="1"/>
    <col min="11" max="11" width="15.7109375" style="46" customWidth="1"/>
    <col min="12" max="12" width="16.85546875" style="109" customWidth="1"/>
    <col min="13" max="13" width="17" style="109" customWidth="1"/>
    <col min="14" max="14" width="17" style="46" customWidth="1"/>
    <col min="15" max="16384" width="9.140625" style="46"/>
  </cols>
  <sheetData>
    <row r="1" spans="1:13">
      <c r="A1" s="47"/>
      <c r="B1" s="48"/>
      <c r="C1" s="48"/>
      <c r="D1" s="48"/>
      <c r="E1" s="48"/>
      <c r="F1" s="48"/>
      <c r="G1" s="48"/>
      <c r="H1" s="48"/>
      <c r="I1" s="48"/>
      <c r="J1" s="169" t="s">
        <v>81</v>
      </c>
    </row>
    <row r="2" spans="1:13">
      <c r="A2" s="389" t="s">
        <v>80</v>
      </c>
      <c r="B2" s="390"/>
      <c r="C2" s="390"/>
      <c r="D2" s="390"/>
      <c r="E2" s="390"/>
      <c r="F2" s="390"/>
      <c r="G2" s="390"/>
      <c r="H2" s="390"/>
      <c r="I2" s="390"/>
      <c r="J2" s="391"/>
    </row>
    <row r="3" spans="1:13">
      <c r="A3" s="389" t="s">
        <v>303</v>
      </c>
      <c r="B3" s="390"/>
      <c r="C3" s="390"/>
      <c r="D3" s="390"/>
      <c r="E3" s="390"/>
      <c r="F3" s="390"/>
      <c r="G3" s="390"/>
      <c r="H3" s="390"/>
      <c r="I3" s="390"/>
      <c r="J3" s="391"/>
    </row>
    <row r="4" spans="1:13">
      <c r="A4" s="389"/>
      <c r="B4" s="390"/>
      <c r="C4" s="390"/>
      <c r="D4" s="390"/>
      <c r="E4" s="390"/>
      <c r="F4" s="390"/>
      <c r="G4" s="390"/>
      <c r="H4" s="390"/>
      <c r="I4" s="390"/>
      <c r="J4" s="391"/>
    </row>
    <row r="5" spans="1:13">
      <c r="A5" s="54" t="s">
        <v>77</v>
      </c>
      <c r="B5" s="320"/>
      <c r="C5" s="320"/>
      <c r="D5" s="320"/>
      <c r="E5" s="320"/>
      <c r="F5" s="320"/>
      <c r="G5" s="320"/>
      <c r="H5" s="320"/>
      <c r="I5" s="320"/>
      <c r="J5" s="170"/>
    </row>
    <row r="6" spans="1:13">
      <c r="A6" s="54" t="s">
        <v>76</v>
      </c>
      <c r="B6" s="55"/>
      <c r="C6" s="55"/>
      <c r="D6" s="55"/>
      <c r="E6" s="55"/>
      <c r="F6" s="55"/>
      <c r="G6" s="55"/>
      <c r="H6" s="55" t="s">
        <v>278</v>
      </c>
      <c r="I6" s="55"/>
      <c r="J6" s="171"/>
      <c r="K6" s="46" t="s">
        <v>210</v>
      </c>
    </row>
    <row r="7" spans="1:13">
      <c r="A7" s="47"/>
      <c r="B7" s="48"/>
      <c r="C7" s="48"/>
      <c r="D7" s="49"/>
      <c r="E7" s="88" t="s">
        <v>8</v>
      </c>
      <c r="F7" s="50"/>
      <c r="G7" s="52"/>
      <c r="H7" s="52"/>
      <c r="I7" s="53"/>
      <c r="J7" s="110"/>
    </row>
    <row r="8" spans="1:13">
      <c r="A8" s="54"/>
      <c r="B8" s="55"/>
      <c r="C8" s="55"/>
      <c r="D8" s="56"/>
      <c r="E8" s="319" t="s">
        <v>9</v>
      </c>
      <c r="F8" s="53"/>
      <c r="G8" s="59"/>
      <c r="H8" s="59"/>
      <c r="I8" s="58"/>
      <c r="J8" s="111"/>
    </row>
    <row r="9" spans="1:13">
      <c r="A9" s="61" t="s">
        <v>68</v>
      </c>
      <c r="B9" s="55"/>
      <c r="C9" s="55"/>
      <c r="D9" s="56"/>
      <c r="E9" s="319" t="s">
        <v>10</v>
      </c>
      <c r="F9" s="60" t="s">
        <v>12</v>
      </c>
      <c r="G9" s="60" t="s">
        <v>14</v>
      </c>
      <c r="H9" s="60" t="s">
        <v>20</v>
      </c>
      <c r="I9" s="60" t="s">
        <v>22</v>
      </c>
      <c r="J9" s="112" t="s">
        <v>24</v>
      </c>
    </row>
    <row r="10" spans="1:13">
      <c r="A10" s="54"/>
      <c r="B10" s="55"/>
      <c r="C10" s="55"/>
      <c r="D10" s="56"/>
      <c r="E10" s="319" t="s">
        <v>11</v>
      </c>
      <c r="F10" s="60" t="s">
        <v>13</v>
      </c>
      <c r="G10" s="59"/>
      <c r="H10" s="60" t="s">
        <v>21</v>
      </c>
      <c r="I10" s="60" t="s">
        <v>23</v>
      </c>
      <c r="J10" s="111"/>
    </row>
    <row r="11" spans="1:13">
      <c r="A11" s="62"/>
      <c r="B11" s="63"/>
      <c r="C11" s="63"/>
      <c r="D11" s="64"/>
      <c r="E11" s="65">
        <v>0.3</v>
      </c>
      <c r="F11" s="66">
        <v>0.7</v>
      </c>
      <c r="G11" s="59"/>
      <c r="H11" s="67"/>
      <c r="I11" s="68"/>
      <c r="J11" s="113"/>
    </row>
    <row r="12" spans="1:13" ht="18" customHeight="1">
      <c r="A12" s="70" t="s">
        <v>0</v>
      </c>
      <c r="B12" s="71"/>
      <c r="C12" s="71"/>
      <c r="D12" s="72"/>
      <c r="E12" s="51"/>
      <c r="F12" s="51"/>
      <c r="G12" s="51"/>
      <c r="H12" s="51"/>
      <c r="I12" s="51"/>
      <c r="J12" s="110"/>
      <c r="L12" s="321" t="s">
        <v>90</v>
      </c>
      <c r="M12" s="321" t="s">
        <v>89</v>
      </c>
    </row>
    <row r="13" spans="1:13" ht="18" customHeight="1">
      <c r="A13" s="73" t="s">
        <v>1</v>
      </c>
      <c r="B13" s="72"/>
      <c r="C13" s="72"/>
      <c r="D13" s="72"/>
      <c r="E13" s="94">
        <f>M19*0.3</f>
        <v>659273.73779999977</v>
      </c>
      <c r="F13" s="94">
        <f>M19*0.7</f>
        <v>1538305.3881999995</v>
      </c>
      <c r="G13" s="94"/>
      <c r="H13" s="94"/>
      <c r="I13" s="94"/>
      <c r="J13" s="114">
        <f>SUM(E13:I13)</f>
        <v>2197579.1259999992</v>
      </c>
      <c r="K13" s="175" t="e">
        <f>SUM(J13+#REF!+#REF!+#REF!+#REF!+#REF!+#REF!+#REF!+#REF!+#REF!+#REF!+#REF!)</f>
        <v>#REF!</v>
      </c>
      <c r="L13" s="109">
        <v>21367644.399999999</v>
      </c>
      <c r="M13" s="109">
        <v>4171566.4</v>
      </c>
    </row>
    <row r="14" spans="1:13" ht="18" customHeight="1">
      <c r="A14" s="73" t="s">
        <v>2</v>
      </c>
      <c r="B14" s="72"/>
      <c r="C14" s="72"/>
      <c r="D14" s="72"/>
      <c r="E14" s="102"/>
      <c r="F14" s="102"/>
      <c r="G14" s="102"/>
      <c r="H14" s="102"/>
      <c r="I14" s="102"/>
      <c r="J14" s="110"/>
      <c r="K14" s="117" t="s">
        <v>88</v>
      </c>
      <c r="L14" s="109">
        <v>9400000</v>
      </c>
      <c r="M14" s="109">
        <v>5637398.9699999997</v>
      </c>
    </row>
    <row r="15" spans="1:13" ht="18" customHeight="1">
      <c r="A15" s="75" t="s">
        <v>3</v>
      </c>
      <c r="B15" s="48"/>
      <c r="C15" s="48"/>
      <c r="D15" s="48"/>
      <c r="E15" s="102"/>
      <c r="F15" s="102"/>
      <c r="G15" s="102"/>
      <c r="H15" s="102"/>
      <c r="I15" s="102"/>
      <c r="J15" s="110"/>
      <c r="L15" s="116">
        <f>SUM(L13:L14)</f>
        <v>30767644.399999999</v>
      </c>
      <c r="M15" s="116">
        <f>SUM(M13:M14)</f>
        <v>9808965.3699999992</v>
      </c>
    </row>
    <row r="16" spans="1:13" ht="18" customHeight="1">
      <c r="A16" s="76" t="s">
        <v>78</v>
      </c>
      <c r="B16" s="55"/>
      <c r="C16" s="55"/>
      <c r="D16" s="55"/>
      <c r="E16" s="103"/>
      <c r="F16" s="103"/>
      <c r="G16" s="103"/>
      <c r="H16" s="103"/>
      <c r="I16" s="103"/>
      <c r="J16" s="113"/>
      <c r="K16" s="46">
        <v>11930281.960000001</v>
      </c>
    </row>
    <row r="17" spans="1:14" ht="18" customHeight="1">
      <c r="A17" s="77" t="s">
        <v>79</v>
      </c>
      <c r="B17" s="72"/>
      <c r="C17" s="72"/>
      <c r="D17" s="72"/>
      <c r="E17" s="94"/>
      <c r="F17" s="94"/>
      <c r="G17" s="94"/>
      <c r="H17" s="94"/>
      <c r="I17" s="94"/>
      <c r="J17" s="113">
        <f>SUM(E17:I17)</f>
        <v>0</v>
      </c>
      <c r="K17" s="173">
        <f>K16-J16</f>
        <v>11930281.960000001</v>
      </c>
      <c r="M17" s="109">
        <v>25936573.030000001</v>
      </c>
    </row>
    <row r="18" spans="1:14" ht="18" customHeight="1">
      <c r="A18" s="70" t="s">
        <v>7</v>
      </c>
      <c r="B18" s="72"/>
      <c r="C18" s="72"/>
      <c r="D18" s="72"/>
      <c r="E18" s="119">
        <f>SUM(E13:E17)</f>
        <v>659273.73779999977</v>
      </c>
      <c r="F18" s="119">
        <f t="shared" ref="F18:J18" si="0">SUM(F13:F17)</f>
        <v>1538305.3881999995</v>
      </c>
      <c r="G18" s="119">
        <f t="shared" si="0"/>
        <v>0</v>
      </c>
      <c r="H18" s="119">
        <f t="shared" si="0"/>
        <v>0</v>
      </c>
      <c r="I18" s="119">
        <f t="shared" si="0"/>
        <v>0</v>
      </c>
      <c r="J18" s="305">
        <f t="shared" si="0"/>
        <v>2197579.1259999992</v>
      </c>
      <c r="K18" s="166">
        <f t="shared" ref="K18:K45" si="1">SUM(E18:I18)</f>
        <v>2197579.1259999992</v>
      </c>
      <c r="L18" s="193" t="s">
        <v>171</v>
      </c>
      <c r="M18" s="192">
        <f>568517352.17-524565769.65</f>
        <v>43951582.519999981</v>
      </c>
    </row>
    <row r="19" spans="1:14" s="109" customFormat="1" ht="18" customHeight="1">
      <c r="A19" s="74" t="s">
        <v>99</v>
      </c>
      <c r="B19" s="72" t="s">
        <v>100</v>
      </c>
      <c r="C19" s="72"/>
      <c r="D19" s="72"/>
      <c r="E19" s="94">
        <f>SUM('DRRM Funds Aug 2016'!E46)</f>
        <v>29562584.684750002</v>
      </c>
      <c r="F19" s="94">
        <f>SUM('DRRM Funds Aug 2016'!F46)</f>
        <v>29117268.79775</v>
      </c>
      <c r="G19" s="94">
        <f>SUM('DRRM Funds Aug 2016'!G46)</f>
        <v>0</v>
      </c>
      <c r="H19" s="94">
        <f>SUM('DRRM Funds Aug 2016'!H46)</f>
        <v>0</v>
      </c>
      <c r="I19" s="94">
        <f>SUM('DRRM Funds Aug 2016'!I46)</f>
        <v>0</v>
      </c>
      <c r="J19" s="94">
        <f>SUM('DRRM Funds Aug 2016'!J46)</f>
        <v>58679853.482499994</v>
      </c>
      <c r="K19" s="166">
        <f t="shared" si="1"/>
        <v>58679853.482500002</v>
      </c>
      <c r="L19" s="194">
        <v>0.05</v>
      </c>
      <c r="M19" s="269">
        <f>M18*0.05</f>
        <v>2197579.1259999992</v>
      </c>
    </row>
    <row r="20" spans="1:14" s="109" customFormat="1" ht="18" customHeight="1">
      <c r="A20" s="70" t="s">
        <v>101</v>
      </c>
      <c r="B20" s="122"/>
      <c r="C20" s="72"/>
      <c r="D20" s="72"/>
      <c r="E20" s="119">
        <f>SUM(E18:E19)</f>
        <v>30221858.42255</v>
      </c>
      <c r="F20" s="119">
        <f t="shared" ref="F20:J20" si="2">SUM(F18:F19)</f>
        <v>30655574.18595</v>
      </c>
      <c r="G20" s="119">
        <f t="shared" si="2"/>
        <v>0</v>
      </c>
      <c r="H20" s="119">
        <f t="shared" si="2"/>
        <v>0</v>
      </c>
      <c r="I20" s="119">
        <f t="shared" si="2"/>
        <v>0</v>
      </c>
      <c r="J20" s="119">
        <f t="shared" si="2"/>
        <v>60877432.608499996</v>
      </c>
      <c r="K20" s="166">
        <f t="shared" si="1"/>
        <v>60877432.608500004</v>
      </c>
    </row>
    <row r="21" spans="1:14" ht="18" customHeight="1">
      <c r="A21" s="70" t="s">
        <v>15</v>
      </c>
      <c r="B21" s="72"/>
      <c r="C21" s="72"/>
      <c r="D21" s="72"/>
      <c r="E21" s="94"/>
      <c r="F21" s="94"/>
      <c r="G21" s="94"/>
      <c r="H21" s="94"/>
      <c r="I21" s="94"/>
      <c r="J21" s="114"/>
      <c r="K21" s="166">
        <f t="shared" si="1"/>
        <v>0</v>
      </c>
      <c r="M21" s="109">
        <v>26972032.48</v>
      </c>
    </row>
    <row r="22" spans="1:14" ht="18" customHeight="1">
      <c r="A22" s="77" t="s">
        <v>206</v>
      </c>
      <c r="B22" s="263"/>
      <c r="C22" s="263"/>
      <c r="D22" s="263"/>
      <c r="E22" s="94"/>
      <c r="F22" s="94"/>
      <c r="G22" s="94"/>
      <c r="H22" s="94"/>
      <c r="I22" s="94"/>
      <c r="J22" s="114">
        <f>SUM(E22:I22)</f>
        <v>0</v>
      </c>
      <c r="K22" s="166"/>
    </row>
    <row r="23" spans="1:14" ht="18" customHeight="1">
      <c r="A23" s="77" t="s">
        <v>251</v>
      </c>
      <c r="B23" s="263"/>
      <c r="C23" s="263"/>
      <c r="D23" s="263"/>
      <c r="E23" s="94"/>
      <c r="F23" s="94">
        <v>7445</v>
      </c>
      <c r="G23" s="94"/>
      <c r="H23" s="94"/>
      <c r="I23" s="94"/>
      <c r="J23" s="114">
        <f t="shared" ref="J23:J42" si="3">SUM(E23:I23)</f>
        <v>7445</v>
      </c>
      <c r="K23" s="166">
        <f t="shared" si="1"/>
        <v>7445</v>
      </c>
      <c r="L23" s="176">
        <f>518731460.56*0.05</f>
        <v>25936573.028000001</v>
      </c>
      <c r="M23" s="109">
        <v>125607.13</v>
      </c>
    </row>
    <row r="24" spans="1:14" ht="18" customHeight="1">
      <c r="A24" s="290" t="s">
        <v>229</v>
      </c>
      <c r="B24" s="291"/>
      <c r="C24" s="291"/>
      <c r="D24" s="291"/>
      <c r="E24" s="292"/>
      <c r="F24" s="292">
        <v>19438</v>
      </c>
      <c r="G24" s="292"/>
      <c r="H24" s="292"/>
      <c r="I24" s="292"/>
      <c r="J24" s="114">
        <f t="shared" si="3"/>
        <v>19438</v>
      </c>
      <c r="K24" s="166"/>
      <c r="L24" s="228"/>
    </row>
    <row r="25" spans="1:14" ht="18" customHeight="1">
      <c r="A25" s="290" t="s">
        <v>252</v>
      </c>
      <c r="B25" s="291"/>
      <c r="C25" s="291"/>
      <c r="D25" s="291"/>
      <c r="E25" s="292"/>
      <c r="F25" s="292">
        <v>100732.5</v>
      </c>
      <c r="G25" s="292"/>
      <c r="H25" s="292"/>
      <c r="I25" s="292"/>
      <c r="J25" s="114">
        <f t="shared" si="3"/>
        <v>100732.5</v>
      </c>
      <c r="K25" s="166">
        <f t="shared" si="1"/>
        <v>100732.5</v>
      </c>
      <c r="M25" s="232" t="s">
        <v>236</v>
      </c>
    </row>
    <row r="26" spans="1:14" ht="18" customHeight="1">
      <c r="A26" s="290" t="s">
        <v>276</v>
      </c>
      <c r="B26" s="291"/>
      <c r="C26" s="291"/>
      <c r="D26" s="291"/>
      <c r="E26" s="292"/>
      <c r="F26" s="292">
        <v>921486.93</v>
      </c>
      <c r="G26" s="292"/>
      <c r="H26" s="292"/>
      <c r="I26" s="292"/>
      <c r="J26" s="114">
        <f t="shared" si="3"/>
        <v>921486.93</v>
      </c>
      <c r="K26" s="166">
        <f t="shared" si="1"/>
        <v>921486.93</v>
      </c>
      <c r="M26" s="229">
        <v>275607.13</v>
      </c>
      <c r="N26" s="46" t="s">
        <v>230</v>
      </c>
    </row>
    <row r="27" spans="1:14" ht="18" customHeight="1">
      <c r="A27" s="293" t="s">
        <v>275</v>
      </c>
      <c r="B27" s="291"/>
      <c r="C27" s="291"/>
      <c r="D27" s="291"/>
      <c r="E27" s="292"/>
      <c r="F27" s="292"/>
      <c r="G27" s="292"/>
      <c r="H27" s="292"/>
      <c r="I27" s="292"/>
      <c r="J27" s="114">
        <f t="shared" si="3"/>
        <v>0</v>
      </c>
      <c r="K27" s="166">
        <f t="shared" si="1"/>
        <v>0</v>
      </c>
      <c r="M27" s="229">
        <v>695000</v>
      </c>
      <c r="N27" s="46" t="s">
        <v>232</v>
      </c>
    </row>
    <row r="28" spans="1:14" ht="18" customHeight="1">
      <c r="A28" s="290" t="s">
        <v>274</v>
      </c>
      <c r="B28" s="291"/>
      <c r="C28" s="291"/>
      <c r="D28" s="291"/>
      <c r="E28" s="292"/>
      <c r="F28" s="292"/>
      <c r="G28" s="292"/>
      <c r="H28" s="292"/>
      <c r="I28" s="292"/>
      <c r="J28" s="114">
        <f t="shared" si="3"/>
        <v>0</v>
      </c>
      <c r="K28" s="166">
        <f t="shared" si="1"/>
        <v>0</v>
      </c>
      <c r="M28" s="229">
        <v>1470000</v>
      </c>
      <c r="N28" s="46" t="s">
        <v>233</v>
      </c>
    </row>
    <row r="29" spans="1:14" ht="18" customHeight="1">
      <c r="A29" s="290" t="s">
        <v>227</v>
      </c>
      <c r="B29" s="291"/>
      <c r="C29" s="291"/>
      <c r="D29" s="291"/>
      <c r="E29" s="292"/>
      <c r="F29" s="292"/>
      <c r="G29" s="292"/>
      <c r="H29" s="292"/>
      <c r="I29" s="292"/>
      <c r="J29" s="114">
        <f t="shared" si="3"/>
        <v>0</v>
      </c>
      <c r="K29" s="166">
        <f t="shared" si="1"/>
        <v>0</v>
      </c>
      <c r="L29" s="321"/>
      <c r="M29" s="229">
        <v>3071228.76</v>
      </c>
      <c r="N29" s="46" t="s">
        <v>231</v>
      </c>
    </row>
    <row r="30" spans="1:14" ht="18" customHeight="1">
      <c r="A30" s="290" t="s">
        <v>273</v>
      </c>
      <c r="B30" s="291"/>
      <c r="C30" s="291"/>
      <c r="D30" s="291"/>
      <c r="E30" s="292"/>
      <c r="F30" s="292"/>
      <c r="G30" s="292"/>
      <c r="H30" s="292"/>
      <c r="I30" s="292"/>
      <c r="J30" s="114">
        <f t="shared" si="3"/>
        <v>0</v>
      </c>
      <c r="K30" s="166"/>
      <c r="L30" s="321"/>
      <c r="M30" s="229">
        <v>5009130</v>
      </c>
      <c r="N30" s="46" t="s">
        <v>234</v>
      </c>
    </row>
    <row r="31" spans="1:14" ht="18" customHeight="1">
      <c r="A31" s="290" t="s">
        <v>213</v>
      </c>
      <c r="B31" s="291"/>
      <c r="C31" s="291"/>
      <c r="D31" s="291"/>
      <c r="E31" s="292"/>
      <c r="F31" s="292">
        <v>12800</v>
      </c>
      <c r="G31" s="292"/>
      <c r="H31" s="292"/>
      <c r="I31" s="292"/>
      <c r="J31" s="114">
        <f t="shared" si="3"/>
        <v>12800</v>
      </c>
      <c r="K31" s="166"/>
      <c r="L31" s="321"/>
      <c r="M31" s="230">
        <v>1900100</v>
      </c>
      <c r="N31" s="46" t="s">
        <v>235</v>
      </c>
    </row>
    <row r="32" spans="1:14" ht="18" customHeight="1">
      <c r="A32" s="290" t="s">
        <v>250</v>
      </c>
      <c r="B32" s="291"/>
      <c r="C32" s="291"/>
      <c r="D32" s="291"/>
      <c r="E32" s="292"/>
      <c r="F32" s="292"/>
      <c r="G32" s="292"/>
      <c r="H32" s="292"/>
      <c r="I32" s="292"/>
      <c r="J32" s="114">
        <f t="shared" si="3"/>
        <v>0</v>
      </c>
      <c r="K32" s="166"/>
      <c r="L32" s="321"/>
      <c r="M32" s="289">
        <f>SUM(M26:M31)</f>
        <v>12421065.890000001</v>
      </c>
    </row>
    <row r="33" spans="1:13" ht="18" customHeight="1">
      <c r="A33" s="290" t="s">
        <v>214</v>
      </c>
      <c r="B33" s="291"/>
      <c r="C33" s="291"/>
      <c r="D33" s="291"/>
      <c r="E33" s="292"/>
      <c r="F33" s="292"/>
      <c r="G33" s="292"/>
      <c r="H33" s="292"/>
      <c r="I33" s="292"/>
      <c r="J33" s="114">
        <f t="shared" si="3"/>
        <v>0</v>
      </c>
      <c r="K33" s="227"/>
      <c r="L33" s="321"/>
    </row>
    <row r="34" spans="1:13" ht="18" customHeight="1">
      <c r="A34" s="290" t="s">
        <v>249</v>
      </c>
      <c r="B34" s="291"/>
      <c r="C34" s="291"/>
      <c r="D34" s="291"/>
      <c r="E34" s="292"/>
      <c r="F34" s="292"/>
      <c r="G34" s="292"/>
      <c r="H34" s="292"/>
      <c r="I34" s="292"/>
      <c r="J34" s="114">
        <f t="shared" si="3"/>
        <v>0</v>
      </c>
      <c r="K34" s="265"/>
      <c r="L34" s="321"/>
    </row>
    <row r="35" spans="1:13" ht="18" customHeight="1">
      <c r="A35" s="290" t="s">
        <v>222</v>
      </c>
      <c r="B35" s="291"/>
      <c r="C35" s="291"/>
      <c r="D35" s="291"/>
      <c r="E35" s="292"/>
      <c r="F35" s="292"/>
      <c r="G35" s="292"/>
      <c r="H35" s="292"/>
      <c r="I35" s="292"/>
      <c r="J35" s="114">
        <f t="shared" si="3"/>
        <v>0</v>
      </c>
      <c r="K35" s="266">
        <f t="shared" si="1"/>
        <v>0</v>
      </c>
      <c r="L35" s="109">
        <f>SUM(F29:F35)</f>
        <v>12800</v>
      </c>
    </row>
    <row r="36" spans="1:13" ht="18" customHeight="1">
      <c r="A36" s="290" t="s">
        <v>223</v>
      </c>
      <c r="B36" s="291"/>
      <c r="C36" s="291"/>
      <c r="D36" s="291"/>
      <c r="E36" s="292"/>
      <c r="F36" s="292"/>
      <c r="G36" s="292"/>
      <c r="H36" s="292"/>
      <c r="I36" s="292"/>
      <c r="J36" s="114">
        <f t="shared" si="3"/>
        <v>0</v>
      </c>
      <c r="K36" s="166">
        <f t="shared" si="1"/>
        <v>0</v>
      </c>
      <c r="L36" s="109">
        <v>147060</v>
      </c>
    </row>
    <row r="37" spans="1:13" ht="18" customHeight="1">
      <c r="A37" s="290" t="s">
        <v>168</v>
      </c>
      <c r="B37" s="291"/>
      <c r="C37" s="291"/>
      <c r="D37" s="291"/>
      <c r="E37" s="292"/>
      <c r="F37" s="292"/>
      <c r="G37" s="292"/>
      <c r="H37" s="292"/>
      <c r="I37" s="292"/>
      <c r="J37" s="114">
        <f t="shared" si="3"/>
        <v>0</v>
      </c>
      <c r="K37" s="166">
        <f t="shared" si="1"/>
        <v>0</v>
      </c>
    </row>
    <row r="38" spans="1:13" ht="18" customHeight="1">
      <c r="A38" s="290" t="s">
        <v>293</v>
      </c>
      <c r="B38" s="291"/>
      <c r="C38" s="291"/>
      <c r="D38" s="291"/>
      <c r="E38" s="292"/>
      <c r="F38" s="292"/>
      <c r="G38" s="292"/>
      <c r="H38" s="292"/>
      <c r="I38" s="292"/>
      <c r="J38" s="114">
        <f t="shared" si="3"/>
        <v>0</v>
      </c>
      <c r="K38" s="166">
        <f t="shared" si="1"/>
        <v>0</v>
      </c>
      <c r="L38" s="109">
        <v>1555500</v>
      </c>
    </row>
    <row r="39" spans="1:13" ht="18" customHeight="1">
      <c r="A39" s="290" t="s">
        <v>207</v>
      </c>
      <c r="B39" s="291"/>
      <c r="C39" s="291"/>
      <c r="D39" s="291"/>
      <c r="E39" s="292"/>
      <c r="F39" s="292">
        <v>10350</v>
      </c>
      <c r="G39" s="292"/>
      <c r="H39" s="292"/>
      <c r="I39" s="292"/>
      <c r="J39" s="114">
        <f t="shared" si="3"/>
        <v>10350</v>
      </c>
      <c r="K39" s="166"/>
    </row>
    <row r="40" spans="1:13" ht="18" customHeight="1">
      <c r="A40" s="83" t="s">
        <v>94</v>
      </c>
      <c r="B40" s="263"/>
      <c r="C40" s="263"/>
      <c r="D40" s="263"/>
      <c r="E40" s="94"/>
      <c r="F40" s="94"/>
      <c r="G40" s="94"/>
      <c r="H40" s="94"/>
      <c r="I40" s="94"/>
      <c r="J40" s="114">
        <f t="shared" si="3"/>
        <v>0</v>
      </c>
      <c r="K40" s="166">
        <f t="shared" si="1"/>
        <v>0</v>
      </c>
      <c r="L40" s="109">
        <v>177000</v>
      </c>
    </row>
    <row r="41" spans="1:13" ht="18" customHeight="1">
      <c r="A41" s="83" t="s">
        <v>95</v>
      </c>
      <c r="B41" s="263"/>
      <c r="C41" s="263"/>
      <c r="D41" s="263"/>
      <c r="E41" s="94"/>
      <c r="F41" s="94"/>
      <c r="G41" s="94"/>
      <c r="H41" s="94"/>
      <c r="I41" s="94"/>
      <c r="J41" s="114">
        <f t="shared" si="3"/>
        <v>0</v>
      </c>
      <c r="K41" s="166">
        <f t="shared" si="1"/>
        <v>0</v>
      </c>
      <c r="L41" s="109">
        <v>204055</v>
      </c>
    </row>
    <row r="42" spans="1:13" ht="18" customHeight="1">
      <c r="A42" s="77" t="s">
        <v>96</v>
      </c>
      <c r="B42" s="263"/>
      <c r="C42" s="263"/>
      <c r="D42" s="263"/>
      <c r="E42" s="94"/>
      <c r="F42" s="102"/>
      <c r="G42" s="94"/>
      <c r="H42" s="94"/>
      <c r="I42" s="94"/>
      <c r="J42" s="114">
        <f t="shared" si="3"/>
        <v>0</v>
      </c>
      <c r="K42" s="166">
        <f t="shared" si="1"/>
        <v>0</v>
      </c>
      <c r="L42" s="109">
        <v>71070</v>
      </c>
    </row>
    <row r="43" spans="1:13" ht="18" customHeight="1">
      <c r="A43" s="84" t="s">
        <v>92</v>
      </c>
      <c r="B43" s="63"/>
      <c r="C43" s="63"/>
      <c r="D43" s="63"/>
      <c r="E43" s="89">
        <f>SUM(E22:E42)</f>
        <v>0</v>
      </c>
      <c r="F43" s="303">
        <f t="shared" ref="F43:J43" si="4">SUM(F22:F42)</f>
        <v>1072252.4300000002</v>
      </c>
      <c r="G43" s="304">
        <f>SUM(G22:G42)</f>
        <v>0</v>
      </c>
      <c r="H43" s="94">
        <f t="shared" si="4"/>
        <v>0</v>
      </c>
      <c r="I43" s="94">
        <f t="shared" si="4"/>
        <v>0</v>
      </c>
      <c r="J43" s="292">
        <f t="shared" si="4"/>
        <v>1072252.4300000002</v>
      </c>
      <c r="K43" s="166">
        <f t="shared" si="1"/>
        <v>1072252.4300000002</v>
      </c>
      <c r="L43" s="109">
        <v>27800</v>
      </c>
      <c r="M43" s="46"/>
    </row>
    <row r="44" spans="1:13" ht="18" customHeight="1">
      <c r="A44" s="84" t="s">
        <v>103</v>
      </c>
      <c r="B44" s="63"/>
      <c r="C44" s="63"/>
      <c r="D44" s="63"/>
      <c r="E44" s="103">
        <f>SUM('DRRM Funds Aug 2016'!E45)</f>
        <v>0</v>
      </c>
      <c r="F44" s="103">
        <f>SUM('DRRM Funds Aug 2016'!F45)</f>
        <v>9334475.120000001</v>
      </c>
      <c r="G44" s="103">
        <f>SUM('DRRM Funds Aug 2016'!G45)</f>
        <v>0</v>
      </c>
      <c r="H44" s="103">
        <f>SUM('DRRM Funds Aug 2016'!H45)</f>
        <v>0</v>
      </c>
      <c r="I44" s="103">
        <f>SUM('DRRM Funds Aug 2016'!I45)</f>
        <v>0</v>
      </c>
      <c r="J44" s="103">
        <f>SUM('DRRM Funds Aug 2016'!J45)</f>
        <v>9334475.120000001</v>
      </c>
      <c r="K44" s="166">
        <f t="shared" si="1"/>
        <v>9334475.120000001</v>
      </c>
      <c r="L44" s="109">
        <v>126865</v>
      </c>
      <c r="M44" s="109">
        <f>SUM(E44:H44)</f>
        <v>9334475.120000001</v>
      </c>
    </row>
    <row r="45" spans="1:13" ht="18" customHeight="1">
      <c r="A45" s="84" t="s">
        <v>104</v>
      </c>
      <c r="B45" s="63"/>
      <c r="C45" s="63"/>
      <c r="D45" s="63"/>
      <c r="E45" s="103">
        <f>SUM(E43:E44)</f>
        <v>0</v>
      </c>
      <c r="F45" s="103">
        <f t="shared" ref="F45:J45" si="5">SUM(F43:F44)</f>
        <v>10406727.550000001</v>
      </c>
      <c r="G45" s="103">
        <f t="shared" si="5"/>
        <v>0</v>
      </c>
      <c r="H45" s="103">
        <f t="shared" si="5"/>
        <v>0</v>
      </c>
      <c r="I45" s="103">
        <f t="shared" si="5"/>
        <v>0</v>
      </c>
      <c r="J45" s="103">
        <f t="shared" si="5"/>
        <v>10406727.550000001</v>
      </c>
      <c r="K45" s="166">
        <f t="shared" si="1"/>
        <v>10406727.550000001</v>
      </c>
      <c r="L45" s="174">
        <f>SUM(L35:L44)</f>
        <v>2322150</v>
      </c>
      <c r="M45" s="109">
        <v>10492358.970000001</v>
      </c>
    </row>
    <row r="46" spans="1:13" ht="18" customHeight="1">
      <c r="A46" s="70" t="s">
        <v>93</v>
      </c>
      <c r="B46" s="72"/>
      <c r="C46" s="72"/>
      <c r="D46" s="80"/>
      <c r="E46" s="231">
        <f t="shared" ref="E46:J46" si="6">E20-E43</f>
        <v>30221858.42255</v>
      </c>
      <c r="F46" s="231">
        <f t="shared" si="6"/>
        <v>29583321.75595</v>
      </c>
      <c r="G46" s="231">
        <f>G20-G43</f>
        <v>0</v>
      </c>
      <c r="H46" s="231">
        <f t="shared" si="6"/>
        <v>0</v>
      </c>
      <c r="I46" s="231">
        <f t="shared" si="6"/>
        <v>0</v>
      </c>
      <c r="J46" s="231">
        <f t="shared" si="6"/>
        <v>59805180.178499997</v>
      </c>
      <c r="K46" s="166">
        <f>SUM(E46:I46)</f>
        <v>59805180.178499997</v>
      </c>
      <c r="L46" s="46"/>
      <c r="M46" s="109">
        <f>M45-L45</f>
        <v>8170208.9700000007</v>
      </c>
    </row>
    <row r="47" spans="1:13" ht="18" customHeight="1">
      <c r="A47" s="55"/>
      <c r="B47" s="55"/>
      <c r="C47" s="55"/>
      <c r="D47" s="55"/>
      <c r="E47" s="55"/>
      <c r="F47" s="55"/>
      <c r="G47" s="55"/>
      <c r="H47" s="55"/>
      <c r="I47" s="55"/>
      <c r="J47" s="115" t="s">
        <v>74</v>
      </c>
      <c r="K47" s="92">
        <f>SUM(E46:F46)</f>
        <v>59805180.178499997</v>
      </c>
      <c r="M47" s="109">
        <v>0</v>
      </c>
    </row>
    <row r="48" spans="1:13">
      <c r="A48" s="55" t="s">
        <v>83</v>
      </c>
      <c r="B48" s="55"/>
      <c r="C48" s="55"/>
      <c r="D48" s="55"/>
      <c r="E48" s="55"/>
      <c r="F48" s="55"/>
      <c r="G48" s="55"/>
      <c r="H48" s="55" t="s">
        <v>29</v>
      </c>
      <c r="I48" s="55"/>
      <c r="J48" s="115"/>
      <c r="K48" s="55"/>
      <c r="L48" s="109">
        <v>752760</v>
      </c>
    </row>
    <row r="49" spans="1:13">
      <c r="A49" s="55"/>
      <c r="B49" s="55"/>
      <c r="C49" s="55"/>
      <c r="D49" s="55"/>
      <c r="E49" s="55"/>
      <c r="F49" s="55"/>
      <c r="G49" s="55"/>
      <c r="H49" s="55"/>
      <c r="I49" s="55"/>
      <c r="J49" s="115"/>
      <c r="K49" s="55"/>
      <c r="L49" s="109">
        <v>902075</v>
      </c>
    </row>
    <row r="50" spans="1:13">
      <c r="A50" s="82" t="s">
        <v>202</v>
      </c>
      <c r="B50" s="55"/>
      <c r="C50" s="55"/>
      <c r="D50" s="55"/>
      <c r="E50" s="55"/>
      <c r="F50" s="55"/>
      <c r="G50" s="55"/>
      <c r="H50" s="241" t="s">
        <v>72</v>
      </c>
      <c r="I50" s="55"/>
      <c r="J50" s="115"/>
      <c r="K50" s="55"/>
      <c r="L50" s="109">
        <v>504234.65</v>
      </c>
      <c r="M50" s="109">
        <v>8736531.7100000009</v>
      </c>
    </row>
    <row r="51" spans="1:13">
      <c r="A51" s="140" t="s">
        <v>287</v>
      </c>
      <c r="B51" s="55"/>
      <c r="C51" s="55"/>
      <c r="D51" s="55"/>
      <c r="E51" s="55"/>
      <c r="F51" s="55"/>
      <c r="G51" s="55"/>
      <c r="H51" s="140" t="s">
        <v>85</v>
      </c>
      <c r="I51" s="55"/>
      <c r="J51" s="115"/>
      <c r="K51" s="55"/>
      <c r="L51" s="109">
        <v>899145</v>
      </c>
      <c r="M51" s="109">
        <v>10140</v>
      </c>
    </row>
    <row r="52" spans="1:13">
      <c r="A52" s="55"/>
      <c r="B52" s="55"/>
      <c r="C52" s="55"/>
      <c r="D52" s="55"/>
      <c r="E52" s="121" t="s">
        <v>237</v>
      </c>
      <c r="F52" s="55"/>
      <c r="G52" s="55"/>
      <c r="H52" s="55"/>
      <c r="I52" s="55"/>
      <c r="J52" s="115"/>
      <c r="K52" s="55"/>
      <c r="L52" s="109">
        <v>1087927.3999999999</v>
      </c>
      <c r="M52" s="109">
        <f>SUM(M50:M51)</f>
        <v>8746671.7100000009</v>
      </c>
    </row>
    <row r="53" spans="1:13">
      <c r="A53" s="55"/>
      <c r="B53" s="55"/>
      <c r="C53" s="55"/>
      <c r="D53" s="55"/>
      <c r="E53" s="115"/>
      <c r="F53" s="55"/>
      <c r="G53" s="55"/>
      <c r="H53" s="55"/>
      <c r="I53" s="115"/>
      <c r="J53" s="115"/>
      <c r="K53" s="55"/>
      <c r="L53" s="109">
        <v>2896515.5</v>
      </c>
    </row>
    <row r="54" spans="1:13">
      <c r="A54" s="55"/>
      <c r="B54" s="55"/>
      <c r="C54" s="55"/>
      <c r="D54" s="55"/>
      <c r="E54" s="82" t="s">
        <v>298</v>
      </c>
      <c r="F54" s="55"/>
      <c r="G54" s="55"/>
      <c r="H54" s="55"/>
      <c r="I54" s="115"/>
      <c r="J54" s="115"/>
      <c r="K54" s="55"/>
    </row>
    <row r="55" spans="1:13">
      <c r="A55" s="55"/>
      <c r="B55" s="55"/>
      <c r="C55" s="55"/>
      <c r="D55" s="55"/>
      <c r="E55" s="55" t="s">
        <v>299</v>
      </c>
      <c r="F55" s="55"/>
      <c r="G55" s="55"/>
      <c r="H55" s="55"/>
      <c r="I55" s="115"/>
      <c r="J55" s="115"/>
      <c r="K55" s="55"/>
      <c r="L55" s="109">
        <v>120000</v>
      </c>
    </row>
    <row r="56" spans="1:13">
      <c r="I56" s="109"/>
      <c r="M56" s="46"/>
    </row>
    <row r="57" spans="1:13">
      <c r="F57" s="121"/>
      <c r="I57" s="109"/>
      <c r="K57" s="55"/>
      <c r="L57" s="115">
        <v>630000</v>
      </c>
      <c r="M57" s="183">
        <v>10644424.82</v>
      </c>
    </row>
    <row r="58" spans="1:13">
      <c r="B58" s="276" t="s">
        <v>236</v>
      </c>
      <c r="F58" s="115"/>
      <c r="I58" s="109"/>
      <c r="J58" s="109">
        <v>7850000</v>
      </c>
      <c r="L58" s="109">
        <v>1000000</v>
      </c>
      <c r="M58" s="183">
        <v>13157941.960000001</v>
      </c>
    </row>
    <row r="59" spans="1:13">
      <c r="I59" s="109"/>
      <c r="J59" s="109">
        <v>800000</v>
      </c>
      <c r="L59" s="109">
        <v>1300000</v>
      </c>
      <c r="M59" s="184">
        <v>0</v>
      </c>
    </row>
    <row r="60" spans="1:13">
      <c r="A60" s="46" t="s">
        <v>282</v>
      </c>
      <c r="B60" s="392">
        <f>1493800+99900</f>
        <v>1593700</v>
      </c>
      <c r="C60" s="392"/>
      <c r="I60" s="109"/>
      <c r="J60" s="109">
        <v>1200000</v>
      </c>
      <c r="L60" s="109">
        <v>2000000</v>
      </c>
      <c r="M60" s="183">
        <f>SUM(M57:M59)</f>
        <v>23802366.780000001</v>
      </c>
    </row>
    <row r="61" spans="1:13">
      <c r="A61" s="46" t="s">
        <v>281</v>
      </c>
      <c r="B61" s="392">
        <v>1400000</v>
      </c>
      <c r="C61" s="392"/>
      <c r="I61" s="109"/>
      <c r="J61" s="109">
        <v>3500000</v>
      </c>
      <c r="L61" s="109">
        <v>150000</v>
      </c>
      <c r="M61" s="183">
        <v>24092226.780000001</v>
      </c>
    </row>
    <row r="62" spans="1:13">
      <c r="A62" s="46" t="s">
        <v>258</v>
      </c>
      <c r="B62" s="393">
        <v>1975000</v>
      </c>
      <c r="C62" s="393"/>
      <c r="I62" s="109">
        <v>100000</v>
      </c>
      <c r="J62" s="116">
        <f>SUM(J58:J61)</f>
        <v>13350000</v>
      </c>
      <c r="L62" s="109">
        <v>4590281.96</v>
      </c>
      <c r="M62" s="183">
        <f>M61-M60</f>
        <v>289860</v>
      </c>
    </row>
    <row r="63" spans="1:13">
      <c r="A63" s="46" t="s">
        <v>283</v>
      </c>
      <c r="B63" s="387">
        <v>1214184.3500000001</v>
      </c>
      <c r="C63" s="387"/>
      <c r="I63" s="109">
        <v>4589687.1100000003</v>
      </c>
      <c r="J63" s="109">
        <v>16829861.079999998</v>
      </c>
      <c r="L63" s="109">
        <f>SUM(L57:L62)</f>
        <v>9670281.9600000009</v>
      </c>
      <c r="M63" s="46"/>
    </row>
    <row r="64" spans="1:13">
      <c r="B64" s="388">
        <f>SUM(B60:C63)</f>
        <v>6182884.3499999996</v>
      </c>
      <c r="C64" s="388"/>
      <c r="I64" s="116">
        <f>SUM(I58:I63)</f>
        <v>4689687.1100000003</v>
      </c>
      <c r="J64" s="109">
        <f>J62-J63</f>
        <v>-3479861.0799999982</v>
      </c>
      <c r="M64" s="109">
        <v>24416573.030000001</v>
      </c>
    </row>
    <row r="65" spans="1:13">
      <c r="I65" s="109">
        <v>7212797.6100000003</v>
      </c>
      <c r="M65" s="109">
        <v>24708913.030000001</v>
      </c>
    </row>
    <row r="66" spans="1:13">
      <c r="I66" s="109">
        <f>I64-I65</f>
        <v>-2523110.5</v>
      </c>
      <c r="M66" s="109">
        <f>M64-M65</f>
        <v>-292340</v>
      </c>
    </row>
    <row r="67" spans="1:13">
      <c r="I67" s="109"/>
      <c r="M67" s="109">
        <v>289860</v>
      </c>
    </row>
    <row r="68" spans="1:13">
      <c r="I68" s="109"/>
      <c r="J68" s="109">
        <v>25346381.800000001</v>
      </c>
      <c r="M68" s="173">
        <f>SUM(M66:M67)</f>
        <v>-2480</v>
      </c>
    </row>
    <row r="69" spans="1:13">
      <c r="I69" s="109"/>
      <c r="J69" s="109">
        <v>24042658.690000001</v>
      </c>
      <c r="M69" s="46"/>
    </row>
    <row r="70" spans="1:13">
      <c r="I70" s="109"/>
      <c r="J70" s="109">
        <f>J68-J69</f>
        <v>1303723.1099999994</v>
      </c>
      <c r="L70" s="109">
        <v>400000</v>
      </c>
      <c r="M70" s="46"/>
    </row>
    <row r="71" spans="1:13">
      <c r="I71" s="109"/>
      <c r="L71" s="109">
        <v>1000000</v>
      </c>
      <c r="M71" s="109">
        <v>25279.7</v>
      </c>
    </row>
    <row r="72" spans="1:13">
      <c r="I72" s="109"/>
      <c r="M72" s="109">
        <v>27759.7</v>
      </c>
    </row>
    <row r="73" spans="1:13">
      <c r="H73" s="109"/>
      <c r="I73" s="109"/>
      <c r="M73" s="173">
        <f>M71-M72</f>
        <v>-2480</v>
      </c>
    </row>
    <row r="74" spans="1:13">
      <c r="H74" s="109">
        <v>4455551.57</v>
      </c>
      <c r="I74" s="109"/>
      <c r="J74" s="109">
        <v>17496381.800000001</v>
      </c>
      <c r="M74" s="46"/>
    </row>
    <row r="75" spans="1:13">
      <c r="H75" s="109">
        <v>5760963.6399999997</v>
      </c>
      <c r="I75" s="109"/>
      <c r="J75" s="109">
        <v>7850000</v>
      </c>
      <c r="M75" s="46"/>
    </row>
    <row r="76" spans="1:13">
      <c r="H76" s="109">
        <f>SUM(H74:H75)</f>
        <v>10216515.210000001</v>
      </c>
      <c r="I76" s="109"/>
      <c r="J76" s="109">
        <f>SUM(J74:J75)</f>
        <v>25346381.800000001</v>
      </c>
      <c r="M76" s="46"/>
    </row>
    <row r="77" spans="1:13" s="109" customFormat="1">
      <c r="A77" s="46"/>
      <c r="B77" s="46"/>
      <c r="C77" s="46"/>
      <c r="D77" s="46"/>
      <c r="E77" s="46"/>
      <c r="F77" s="46"/>
      <c r="G77" s="46"/>
    </row>
    <row r="78" spans="1:13" s="109" customFormat="1">
      <c r="A78" s="46"/>
      <c r="B78" s="46"/>
      <c r="C78" s="46"/>
      <c r="D78" s="46"/>
      <c r="E78" s="46"/>
      <c r="F78" s="46"/>
      <c r="G78" s="46"/>
    </row>
    <row r="79" spans="1:13" s="109" customFormat="1">
      <c r="A79" s="46"/>
      <c r="B79" s="46"/>
      <c r="C79" s="46"/>
      <c r="D79" s="46"/>
      <c r="E79" s="46"/>
      <c r="F79" s="46"/>
      <c r="G79" s="46"/>
    </row>
    <row r="80" spans="1:13" s="109" customFormat="1">
      <c r="A80" s="46"/>
      <c r="B80" s="46"/>
      <c r="C80" s="46"/>
      <c r="D80" s="46"/>
      <c r="E80" s="46"/>
      <c r="F80" s="46"/>
      <c r="G80" s="46"/>
    </row>
    <row r="81" spans="1:11" s="109" customFormat="1">
      <c r="A81" s="46"/>
      <c r="B81" s="46"/>
      <c r="C81" s="46"/>
      <c r="D81" s="46"/>
      <c r="E81" s="46"/>
      <c r="F81" s="46"/>
      <c r="G81" s="46"/>
    </row>
    <row r="82" spans="1:11" s="109" customFormat="1">
      <c r="A82" s="46"/>
      <c r="B82" s="46"/>
      <c r="C82" s="46"/>
      <c r="D82" s="46"/>
      <c r="E82" s="46"/>
      <c r="F82" s="46"/>
      <c r="G82" s="46"/>
    </row>
    <row r="83" spans="1:11" s="109" customFormat="1">
      <c r="A83" s="46"/>
      <c r="B83" s="46"/>
      <c r="C83" s="46"/>
      <c r="D83" s="46"/>
      <c r="E83" s="46"/>
      <c r="F83" s="46"/>
      <c r="G83" s="46"/>
      <c r="H83" s="46"/>
    </row>
    <row r="84" spans="1:11" s="109" customFormat="1">
      <c r="A84" s="46"/>
      <c r="B84" s="46"/>
      <c r="C84" s="46"/>
      <c r="D84" s="46"/>
      <c r="E84" s="46"/>
      <c r="F84" s="46"/>
      <c r="G84" s="46"/>
      <c r="H84" s="46"/>
    </row>
    <row r="85" spans="1:11" s="109" customFormat="1">
      <c r="A85" s="46"/>
      <c r="B85" s="46"/>
      <c r="C85" s="46"/>
      <c r="D85" s="46"/>
      <c r="E85" s="46"/>
      <c r="F85" s="46"/>
      <c r="G85" s="46"/>
      <c r="H85" s="46"/>
    </row>
    <row r="86" spans="1:11" s="109" customFormat="1">
      <c r="A86" s="46"/>
      <c r="B86" s="46"/>
      <c r="C86" s="46"/>
      <c r="D86" s="46"/>
      <c r="E86" s="46"/>
      <c r="F86" s="46"/>
      <c r="G86" s="46"/>
      <c r="H86" s="46"/>
    </row>
    <row r="87" spans="1:11" s="109" customFormat="1">
      <c r="A87" s="46"/>
      <c r="B87" s="46"/>
      <c r="C87" s="46"/>
      <c r="D87" s="46"/>
      <c r="E87" s="46"/>
      <c r="F87" s="46"/>
      <c r="G87" s="46"/>
      <c r="H87" s="46"/>
      <c r="K87" s="46"/>
    </row>
    <row r="88" spans="1:11" s="109" customFormat="1">
      <c r="A88" s="46"/>
      <c r="B88" s="46"/>
      <c r="C88" s="46"/>
      <c r="D88" s="46"/>
      <c r="E88" s="46"/>
      <c r="F88" s="46"/>
      <c r="G88" s="46"/>
      <c r="H88" s="46"/>
      <c r="K88" s="46"/>
    </row>
    <row r="89" spans="1:11" s="109" customFormat="1">
      <c r="A89" s="46"/>
      <c r="B89" s="46"/>
      <c r="C89" s="46"/>
      <c r="D89" s="46"/>
      <c r="E89" s="46"/>
      <c r="F89" s="46"/>
      <c r="G89" s="46"/>
      <c r="H89" s="46"/>
      <c r="K89" s="46"/>
    </row>
    <row r="90" spans="1:11" s="109" customFormat="1">
      <c r="A90" s="46"/>
      <c r="B90" s="46"/>
      <c r="C90" s="46"/>
      <c r="D90" s="46"/>
      <c r="E90" s="46"/>
      <c r="F90" s="46"/>
      <c r="G90" s="46"/>
      <c r="H90" s="46"/>
      <c r="K90" s="46"/>
    </row>
    <row r="91" spans="1:11" s="109" customFormat="1">
      <c r="A91" s="46"/>
      <c r="B91" s="46"/>
      <c r="C91" s="46"/>
      <c r="D91" s="46"/>
      <c r="E91" s="46"/>
      <c r="F91" s="46"/>
      <c r="G91" s="46"/>
      <c r="H91" s="46"/>
      <c r="K91" s="46"/>
    </row>
    <row r="92" spans="1:11" s="109" customFormat="1">
      <c r="A92" s="46"/>
      <c r="B92" s="46"/>
      <c r="C92" s="46"/>
      <c r="D92" s="46"/>
      <c r="E92" s="46"/>
      <c r="F92" s="46"/>
      <c r="G92" s="46"/>
      <c r="H92" s="46"/>
      <c r="K92" s="46"/>
    </row>
    <row r="93" spans="1:11" s="109" customFormat="1">
      <c r="A93" s="46"/>
      <c r="B93" s="46"/>
      <c r="C93" s="46"/>
      <c r="D93" s="46"/>
      <c r="E93" s="46"/>
      <c r="F93" s="46"/>
      <c r="G93" s="46"/>
      <c r="H93" s="46"/>
      <c r="K93" s="46"/>
    </row>
    <row r="94" spans="1:11" s="109" customFormat="1">
      <c r="A94" s="46"/>
      <c r="B94" s="46"/>
      <c r="C94" s="46"/>
      <c r="D94" s="46"/>
      <c r="E94" s="46"/>
      <c r="F94" s="46"/>
      <c r="G94" s="46"/>
      <c r="H94" s="46"/>
      <c r="K94" s="46"/>
    </row>
    <row r="95" spans="1:11" s="109" customFormat="1">
      <c r="A95" s="46"/>
      <c r="B95" s="46"/>
      <c r="C95" s="46"/>
      <c r="D95" s="46"/>
      <c r="E95" s="46"/>
      <c r="F95" s="46"/>
      <c r="G95" s="46"/>
      <c r="H95" s="46"/>
      <c r="K95" s="46"/>
    </row>
    <row r="96" spans="1:11" s="109" customFormat="1">
      <c r="A96" s="46"/>
      <c r="B96" s="46"/>
      <c r="C96" s="46"/>
      <c r="D96" s="46"/>
      <c r="E96" s="46"/>
      <c r="F96" s="46"/>
      <c r="G96" s="46"/>
      <c r="H96" s="46"/>
      <c r="K96" s="46"/>
    </row>
    <row r="97" spans="1:11" s="109" customFormat="1">
      <c r="A97" s="46"/>
      <c r="B97" s="46"/>
      <c r="C97" s="46"/>
      <c r="D97" s="46"/>
      <c r="E97" s="46"/>
      <c r="F97" s="46"/>
      <c r="G97" s="46"/>
      <c r="H97" s="46"/>
      <c r="K97" s="46"/>
    </row>
    <row r="98" spans="1:11" s="109" customFormat="1">
      <c r="A98" s="46"/>
      <c r="B98" s="46"/>
      <c r="C98" s="46"/>
      <c r="D98" s="46"/>
      <c r="E98" s="46"/>
      <c r="F98" s="46"/>
      <c r="G98" s="46"/>
      <c r="H98" s="46"/>
      <c r="K98" s="46"/>
    </row>
    <row r="99" spans="1:11" s="109" customFormat="1">
      <c r="A99" s="46"/>
      <c r="B99" s="46"/>
      <c r="C99" s="46"/>
      <c r="D99" s="46"/>
      <c r="E99" s="46"/>
      <c r="F99" s="46"/>
      <c r="G99" s="46"/>
      <c r="H99" s="46"/>
      <c r="K99" s="46"/>
    </row>
  </sheetData>
  <mergeCells count="8">
    <mergeCell ref="B63:C63"/>
    <mergeCell ref="B64:C64"/>
    <mergeCell ref="A2:J2"/>
    <mergeCell ref="A3:J3"/>
    <mergeCell ref="A4:J4"/>
    <mergeCell ref="B60:C60"/>
    <mergeCell ref="B61:C61"/>
    <mergeCell ref="B62:C62"/>
  </mergeCells>
  <printOptions horizontalCentered="1"/>
  <pageMargins left="0.02" right="0.15" top="0.39" bottom="0.1" header="0.21" footer="0.1"/>
  <pageSetup scale="84" orientation="portrait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N99"/>
  <sheetViews>
    <sheetView topLeftCell="A31" workbookViewId="0">
      <selection activeCell="J37" sqref="J37"/>
    </sheetView>
  </sheetViews>
  <sheetFormatPr defaultRowHeight="12.75"/>
  <cols>
    <col min="1" max="1" width="6" style="46" customWidth="1"/>
    <col min="2" max="3" width="9.140625" style="46"/>
    <col min="4" max="4" width="16.5703125" style="46" customWidth="1"/>
    <col min="5" max="6" width="13.85546875" style="46" customWidth="1"/>
    <col min="7" max="7" width="10" style="46" customWidth="1"/>
    <col min="8" max="8" width="11.5703125" style="46" customWidth="1"/>
    <col min="9" max="9" width="11.42578125" style="46" customWidth="1"/>
    <col min="10" max="10" width="13.28515625" style="109" customWidth="1"/>
    <col min="11" max="11" width="15.7109375" style="46" customWidth="1"/>
    <col min="12" max="12" width="16.85546875" style="109" customWidth="1"/>
    <col min="13" max="13" width="17" style="109" customWidth="1"/>
    <col min="14" max="14" width="17" style="46" customWidth="1"/>
    <col min="15" max="16384" width="9.140625" style="46"/>
  </cols>
  <sheetData>
    <row r="1" spans="1:13">
      <c r="A1" s="47"/>
      <c r="B1" s="48"/>
      <c r="C1" s="48"/>
      <c r="D1" s="48"/>
      <c r="E1" s="48"/>
      <c r="F1" s="48"/>
      <c r="G1" s="48"/>
      <c r="H1" s="48"/>
      <c r="I1" s="48"/>
      <c r="J1" s="169" t="s">
        <v>81</v>
      </c>
    </row>
    <row r="2" spans="1:13">
      <c r="A2" s="389" t="s">
        <v>80</v>
      </c>
      <c r="B2" s="390"/>
      <c r="C2" s="390"/>
      <c r="D2" s="390"/>
      <c r="E2" s="390"/>
      <c r="F2" s="390"/>
      <c r="G2" s="390"/>
      <c r="H2" s="390"/>
      <c r="I2" s="390"/>
      <c r="J2" s="391"/>
    </row>
    <row r="3" spans="1:13">
      <c r="A3" s="389" t="s">
        <v>302</v>
      </c>
      <c r="B3" s="390"/>
      <c r="C3" s="390"/>
      <c r="D3" s="390"/>
      <c r="E3" s="390"/>
      <c r="F3" s="390"/>
      <c r="G3" s="390"/>
      <c r="H3" s="390"/>
      <c r="I3" s="390"/>
      <c r="J3" s="391"/>
    </row>
    <row r="4" spans="1:13">
      <c r="A4" s="389"/>
      <c r="B4" s="390"/>
      <c r="C4" s="390"/>
      <c r="D4" s="390"/>
      <c r="E4" s="390"/>
      <c r="F4" s="390"/>
      <c r="G4" s="390"/>
      <c r="H4" s="390"/>
      <c r="I4" s="390"/>
      <c r="J4" s="391"/>
    </row>
    <row r="5" spans="1:13">
      <c r="A5" s="54" t="s">
        <v>77</v>
      </c>
      <c r="B5" s="317"/>
      <c r="C5" s="317"/>
      <c r="D5" s="317"/>
      <c r="E5" s="317"/>
      <c r="F5" s="317"/>
      <c r="G5" s="317"/>
      <c r="H5" s="317"/>
      <c r="I5" s="317"/>
      <c r="J5" s="170"/>
    </row>
    <row r="6" spans="1:13">
      <c r="A6" s="54" t="s">
        <v>76</v>
      </c>
      <c r="B6" s="55"/>
      <c r="C6" s="55"/>
      <c r="D6" s="55"/>
      <c r="E6" s="55"/>
      <c r="F6" s="55"/>
      <c r="G6" s="55"/>
      <c r="H6" s="55" t="s">
        <v>278</v>
      </c>
      <c r="I6" s="55"/>
      <c r="J6" s="171"/>
      <c r="K6" s="46" t="s">
        <v>210</v>
      </c>
    </row>
    <row r="7" spans="1:13">
      <c r="A7" s="47"/>
      <c r="B7" s="48"/>
      <c r="C7" s="48"/>
      <c r="D7" s="49"/>
      <c r="E7" s="88" t="s">
        <v>8</v>
      </c>
      <c r="F7" s="50"/>
      <c r="G7" s="52"/>
      <c r="H7" s="52"/>
      <c r="I7" s="53"/>
      <c r="J7" s="110"/>
    </row>
    <row r="8" spans="1:13">
      <c r="A8" s="54"/>
      <c r="B8" s="55"/>
      <c r="C8" s="55"/>
      <c r="D8" s="56"/>
      <c r="E8" s="316" t="s">
        <v>9</v>
      </c>
      <c r="F8" s="53"/>
      <c r="G8" s="59"/>
      <c r="H8" s="59"/>
      <c r="I8" s="58"/>
      <c r="J8" s="111"/>
    </row>
    <row r="9" spans="1:13">
      <c r="A9" s="61" t="s">
        <v>68</v>
      </c>
      <c r="B9" s="55"/>
      <c r="C9" s="55"/>
      <c r="D9" s="56"/>
      <c r="E9" s="316" t="s">
        <v>10</v>
      </c>
      <c r="F9" s="60" t="s">
        <v>12</v>
      </c>
      <c r="G9" s="60" t="s">
        <v>14</v>
      </c>
      <c r="H9" s="60" t="s">
        <v>20</v>
      </c>
      <c r="I9" s="60" t="s">
        <v>22</v>
      </c>
      <c r="J9" s="112" t="s">
        <v>24</v>
      </c>
    </row>
    <row r="10" spans="1:13">
      <c r="A10" s="54"/>
      <c r="B10" s="55"/>
      <c r="C10" s="55"/>
      <c r="D10" s="56"/>
      <c r="E10" s="316" t="s">
        <v>11</v>
      </c>
      <c r="F10" s="60" t="s">
        <v>13</v>
      </c>
      <c r="G10" s="59"/>
      <c r="H10" s="60" t="s">
        <v>21</v>
      </c>
      <c r="I10" s="60" t="s">
        <v>23</v>
      </c>
      <c r="J10" s="111"/>
    </row>
    <row r="11" spans="1:13">
      <c r="A11" s="62"/>
      <c r="B11" s="63"/>
      <c r="C11" s="63"/>
      <c r="D11" s="64"/>
      <c r="E11" s="65">
        <v>0.3</v>
      </c>
      <c r="F11" s="66">
        <v>0.7</v>
      </c>
      <c r="G11" s="59"/>
      <c r="H11" s="67"/>
      <c r="I11" s="68"/>
      <c r="J11" s="113"/>
    </row>
    <row r="12" spans="1:13" ht="18" customHeight="1">
      <c r="A12" s="70" t="s">
        <v>0</v>
      </c>
      <c r="B12" s="71"/>
      <c r="C12" s="71"/>
      <c r="D12" s="72"/>
      <c r="E12" s="51"/>
      <c r="F12" s="51"/>
      <c r="G12" s="51"/>
      <c r="H12" s="51"/>
      <c r="I12" s="51"/>
      <c r="J12" s="110"/>
      <c r="L12" s="318" t="s">
        <v>90</v>
      </c>
      <c r="M12" s="318" t="s">
        <v>89</v>
      </c>
    </row>
    <row r="13" spans="1:13" ht="18" customHeight="1">
      <c r="A13" s="73" t="s">
        <v>1</v>
      </c>
      <c r="B13" s="72"/>
      <c r="C13" s="72"/>
      <c r="D13" s="72"/>
      <c r="E13" s="94">
        <f>M19*0.3</f>
        <v>659273.73779999977</v>
      </c>
      <c r="F13" s="94">
        <f>M19*0.7</f>
        <v>1538305.3881999995</v>
      </c>
      <c r="G13" s="94"/>
      <c r="H13" s="94"/>
      <c r="I13" s="94"/>
      <c r="J13" s="114">
        <f>SUM(E13:I13)</f>
        <v>2197579.1259999992</v>
      </c>
      <c r="K13" s="175" t="e">
        <f>SUM(J13+#REF!+#REF!+#REF!+#REF!+#REF!+#REF!+#REF!+#REF!+#REF!+#REF!+#REF!)</f>
        <v>#REF!</v>
      </c>
      <c r="L13" s="109">
        <v>21367644.399999999</v>
      </c>
      <c r="M13" s="109">
        <v>4171566.4</v>
      </c>
    </row>
    <row r="14" spans="1:13" ht="18" customHeight="1">
      <c r="A14" s="73" t="s">
        <v>2</v>
      </c>
      <c r="B14" s="72"/>
      <c r="C14" s="72"/>
      <c r="D14" s="72"/>
      <c r="E14" s="102"/>
      <c r="F14" s="102"/>
      <c r="G14" s="102"/>
      <c r="H14" s="102"/>
      <c r="I14" s="102"/>
      <c r="J14" s="110"/>
      <c r="K14" s="117" t="s">
        <v>88</v>
      </c>
      <c r="L14" s="109">
        <v>9400000</v>
      </c>
      <c r="M14" s="109">
        <v>5637398.9699999997</v>
      </c>
    </row>
    <row r="15" spans="1:13" ht="18" customHeight="1">
      <c r="A15" s="75" t="s">
        <v>3</v>
      </c>
      <c r="B15" s="48"/>
      <c r="C15" s="48"/>
      <c r="D15" s="48"/>
      <c r="E15" s="102"/>
      <c r="F15" s="102"/>
      <c r="G15" s="102"/>
      <c r="H15" s="102"/>
      <c r="I15" s="102"/>
      <c r="J15" s="110"/>
      <c r="L15" s="116">
        <f>SUM(L13:L14)</f>
        <v>30767644.399999999</v>
      </c>
      <c r="M15" s="116">
        <f>SUM(M13:M14)</f>
        <v>9808965.3699999992</v>
      </c>
    </row>
    <row r="16" spans="1:13" ht="18" customHeight="1">
      <c r="A16" s="76" t="s">
        <v>78</v>
      </c>
      <c r="B16" s="55"/>
      <c r="C16" s="55"/>
      <c r="D16" s="55"/>
      <c r="E16" s="103"/>
      <c r="F16" s="103"/>
      <c r="G16" s="103"/>
      <c r="H16" s="103"/>
      <c r="I16" s="103"/>
      <c r="J16" s="113"/>
      <c r="K16" s="46">
        <v>11930281.960000001</v>
      </c>
    </row>
    <row r="17" spans="1:14" ht="18" customHeight="1">
      <c r="A17" s="77" t="s">
        <v>79</v>
      </c>
      <c r="B17" s="72"/>
      <c r="C17" s="72"/>
      <c r="D17" s="72"/>
      <c r="E17" s="94"/>
      <c r="F17" s="94"/>
      <c r="G17" s="94"/>
      <c r="H17" s="94"/>
      <c r="I17" s="94"/>
      <c r="J17" s="113">
        <f>SUM(E17:I17)</f>
        <v>0</v>
      </c>
      <c r="K17" s="173">
        <f>K16-J16</f>
        <v>11930281.960000001</v>
      </c>
      <c r="M17" s="109">
        <v>25936573.030000001</v>
      </c>
    </row>
    <row r="18" spans="1:14" ht="18" customHeight="1">
      <c r="A18" s="70" t="s">
        <v>7</v>
      </c>
      <c r="B18" s="72"/>
      <c r="C18" s="72"/>
      <c r="D18" s="72"/>
      <c r="E18" s="119">
        <f>SUM(E13:E17)</f>
        <v>659273.73779999977</v>
      </c>
      <c r="F18" s="119">
        <f t="shared" ref="F18:J18" si="0">SUM(F13:F17)</f>
        <v>1538305.3881999995</v>
      </c>
      <c r="G18" s="119">
        <f t="shared" si="0"/>
        <v>0</v>
      </c>
      <c r="H18" s="119">
        <f t="shared" si="0"/>
        <v>0</v>
      </c>
      <c r="I18" s="119">
        <f t="shared" si="0"/>
        <v>0</v>
      </c>
      <c r="J18" s="305">
        <f t="shared" si="0"/>
        <v>2197579.1259999992</v>
      </c>
      <c r="K18" s="166">
        <f t="shared" ref="K18:K45" si="1">SUM(E18:I18)</f>
        <v>2197579.1259999992</v>
      </c>
      <c r="L18" s="193" t="s">
        <v>171</v>
      </c>
      <c r="M18" s="192">
        <f>568517352.17-524565769.65</f>
        <v>43951582.519999981</v>
      </c>
    </row>
    <row r="19" spans="1:14" s="109" customFormat="1" ht="18" customHeight="1">
      <c r="A19" s="74" t="s">
        <v>99</v>
      </c>
      <c r="B19" s="72" t="s">
        <v>100</v>
      </c>
      <c r="C19" s="72"/>
      <c r="D19" s="72"/>
      <c r="E19" s="94">
        <f>SUM('DRRM Funds Aug 2016'!E46)</f>
        <v>29562584.684750002</v>
      </c>
      <c r="F19" s="94">
        <f>SUM('DRRM Funds Aug 2016'!F46)</f>
        <v>29117268.79775</v>
      </c>
      <c r="G19" s="94">
        <f>SUM('DRRM Funds Aug 2016'!G46)</f>
        <v>0</v>
      </c>
      <c r="H19" s="94">
        <f>SUM('DRRM Funds Aug 2016'!H46)</f>
        <v>0</v>
      </c>
      <c r="I19" s="94">
        <f>SUM('DRRM Funds Aug 2016'!I46)</f>
        <v>0</v>
      </c>
      <c r="J19" s="94">
        <f>SUM('DRRM Funds Aug 2016'!J46)</f>
        <v>58679853.482499994</v>
      </c>
      <c r="K19" s="166">
        <f t="shared" si="1"/>
        <v>58679853.482500002</v>
      </c>
      <c r="L19" s="194">
        <v>0.05</v>
      </c>
      <c r="M19" s="269">
        <f>M18*0.05</f>
        <v>2197579.1259999992</v>
      </c>
    </row>
    <row r="20" spans="1:14" s="109" customFormat="1" ht="18" customHeight="1">
      <c r="A20" s="70" t="s">
        <v>101</v>
      </c>
      <c r="B20" s="122"/>
      <c r="C20" s="72"/>
      <c r="D20" s="72"/>
      <c r="E20" s="119">
        <f>SUM(E18:E19)</f>
        <v>30221858.42255</v>
      </c>
      <c r="F20" s="119">
        <f t="shared" ref="F20:J20" si="2">SUM(F18:F19)</f>
        <v>30655574.18595</v>
      </c>
      <c r="G20" s="119">
        <f t="shared" si="2"/>
        <v>0</v>
      </c>
      <c r="H20" s="119">
        <f t="shared" si="2"/>
        <v>0</v>
      </c>
      <c r="I20" s="119">
        <f t="shared" si="2"/>
        <v>0</v>
      </c>
      <c r="J20" s="119">
        <f t="shared" si="2"/>
        <v>60877432.608499996</v>
      </c>
      <c r="K20" s="166">
        <f t="shared" si="1"/>
        <v>60877432.608500004</v>
      </c>
    </row>
    <row r="21" spans="1:14" ht="18" customHeight="1">
      <c r="A21" s="70" t="s">
        <v>15</v>
      </c>
      <c r="B21" s="72"/>
      <c r="C21" s="72"/>
      <c r="D21" s="72"/>
      <c r="E21" s="94"/>
      <c r="F21" s="94"/>
      <c r="G21" s="94"/>
      <c r="H21" s="94"/>
      <c r="I21" s="94"/>
      <c r="J21" s="114"/>
      <c r="K21" s="166">
        <f t="shared" si="1"/>
        <v>0</v>
      </c>
      <c r="M21" s="109">
        <v>26972032.48</v>
      </c>
    </row>
    <row r="22" spans="1:14" ht="18" customHeight="1">
      <c r="A22" s="77" t="s">
        <v>206</v>
      </c>
      <c r="B22" s="263"/>
      <c r="C22" s="263"/>
      <c r="D22" s="263"/>
      <c r="E22" s="94"/>
      <c r="F22" s="94"/>
      <c r="G22" s="94"/>
      <c r="H22" s="94"/>
      <c r="I22" s="94"/>
      <c r="J22" s="114">
        <f>SUM(E22:I22)</f>
        <v>0</v>
      </c>
      <c r="K22" s="166"/>
    </row>
    <row r="23" spans="1:14" ht="18" customHeight="1">
      <c r="A23" s="77" t="s">
        <v>251</v>
      </c>
      <c r="B23" s="263"/>
      <c r="C23" s="263"/>
      <c r="D23" s="263"/>
      <c r="E23" s="94"/>
      <c r="F23" s="94">
        <v>7445</v>
      </c>
      <c r="G23" s="94"/>
      <c r="H23" s="94"/>
      <c r="I23" s="94"/>
      <c r="J23" s="114">
        <f t="shared" ref="J23:J42" si="3">SUM(E23:I23)</f>
        <v>7445</v>
      </c>
      <c r="K23" s="166">
        <f t="shared" si="1"/>
        <v>7445</v>
      </c>
      <c r="L23" s="176">
        <f>518731460.56*0.05</f>
        <v>25936573.028000001</v>
      </c>
      <c r="M23" s="109">
        <v>125607.13</v>
      </c>
    </row>
    <row r="24" spans="1:14" ht="18" customHeight="1">
      <c r="A24" s="290" t="s">
        <v>229</v>
      </c>
      <c r="B24" s="291"/>
      <c r="C24" s="291"/>
      <c r="D24" s="291"/>
      <c r="E24" s="292"/>
      <c r="F24" s="292">
        <v>19438</v>
      </c>
      <c r="G24" s="292"/>
      <c r="H24" s="292"/>
      <c r="I24" s="292"/>
      <c r="J24" s="114">
        <f t="shared" si="3"/>
        <v>19438</v>
      </c>
      <c r="K24" s="166"/>
      <c r="L24" s="228"/>
    </row>
    <row r="25" spans="1:14" ht="18" customHeight="1">
      <c r="A25" s="290" t="s">
        <v>252</v>
      </c>
      <c r="B25" s="291"/>
      <c r="C25" s="291"/>
      <c r="D25" s="291"/>
      <c r="E25" s="292"/>
      <c r="F25" s="292">
        <v>100732.5</v>
      </c>
      <c r="G25" s="292"/>
      <c r="H25" s="292"/>
      <c r="I25" s="292"/>
      <c r="J25" s="114">
        <f t="shared" si="3"/>
        <v>100732.5</v>
      </c>
      <c r="K25" s="166">
        <f t="shared" si="1"/>
        <v>100732.5</v>
      </c>
      <c r="M25" s="232" t="s">
        <v>236</v>
      </c>
    </row>
    <row r="26" spans="1:14" ht="18" customHeight="1">
      <c r="A26" s="290" t="s">
        <v>276</v>
      </c>
      <c r="B26" s="291"/>
      <c r="C26" s="291"/>
      <c r="D26" s="291"/>
      <c r="E26" s="292"/>
      <c r="F26" s="292">
        <v>921486.93</v>
      </c>
      <c r="G26" s="292"/>
      <c r="H26" s="292"/>
      <c r="I26" s="292"/>
      <c r="J26" s="114">
        <f t="shared" si="3"/>
        <v>921486.93</v>
      </c>
      <c r="K26" s="166">
        <f t="shared" si="1"/>
        <v>921486.93</v>
      </c>
      <c r="M26" s="229">
        <v>275607.13</v>
      </c>
      <c r="N26" s="46" t="s">
        <v>230</v>
      </c>
    </row>
    <row r="27" spans="1:14" ht="18" customHeight="1">
      <c r="A27" s="293" t="s">
        <v>275</v>
      </c>
      <c r="B27" s="291"/>
      <c r="C27" s="291"/>
      <c r="D27" s="291"/>
      <c r="E27" s="292"/>
      <c r="F27" s="292"/>
      <c r="G27" s="292"/>
      <c r="H27" s="292"/>
      <c r="I27" s="292"/>
      <c r="J27" s="114">
        <f t="shared" si="3"/>
        <v>0</v>
      </c>
      <c r="K27" s="166">
        <f t="shared" si="1"/>
        <v>0</v>
      </c>
      <c r="M27" s="229">
        <v>695000</v>
      </c>
      <c r="N27" s="46" t="s">
        <v>232</v>
      </c>
    </row>
    <row r="28" spans="1:14" ht="18" customHeight="1">
      <c r="A28" s="290" t="s">
        <v>274</v>
      </c>
      <c r="B28" s="291"/>
      <c r="C28" s="291"/>
      <c r="D28" s="291"/>
      <c r="E28" s="292"/>
      <c r="F28" s="292"/>
      <c r="G28" s="292"/>
      <c r="H28" s="292"/>
      <c r="I28" s="292"/>
      <c r="J28" s="114">
        <f t="shared" si="3"/>
        <v>0</v>
      </c>
      <c r="K28" s="166">
        <f t="shared" si="1"/>
        <v>0</v>
      </c>
      <c r="M28" s="229">
        <v>1470000</v>
      </c>
      <c r="N28" s="46" t="s">
        <v>233</v>
      </c>
    </row>
    <row r="29" spans="1:14" ht="18" customHeight="1">
      <c r="A29" s="290" t="s">
        <v>227</v>
      </c>
      <c r="B29" s="291"/>
      <c r="C29" s="291"/>
      <c r="D29" s="291"/>
      <c r="E29" s="292"/>
      <c r="F29" s="292"/>
      <c r="G29" s="292"/>
      <c r="H29" s="292"/>
      <c r="I29" s="292"/>
      <c r="J29" s="114">
        <f t="shared" si="3"/>
        <v>0</v>
      </c>
      <c r="K29" s="166">
        <f t="shared" si="1"/>
        <v>0</v>
      </c>
      <c r="L29" s="318"/>
      <c r="M29" s="229">
        <v>3071228.76</v>
      </c>
      <c r="N29" s="46" t="s">
        <v>231</v>
      </c>
    </row>
    <row r="30" spans="1:14" ht="18" customHeight="1">
      <c r="A30" s="290" t="s">
        <v>273</v>
      </c>
      <c r="B30" s="291"/>
      <c r="C30" s="291"/>
      <c r="D30" s="291"/>
      <c r="E30" s="292"/>
      <c r="F30" s="292"/>
      <c r="G30" s="292"/>
      <c r="H30" s="292"/>
      <c r="I30" s="292"/>
      <c r="J30" s="114">
        <f t="shared" si="3"/>
        <v>0</v>
      </c>
      <c r="K30" s="166"/>
      <c r="L30" s="318"/>
      <c r="M30" s="229">
        <v>5009130</v>
      </c>
      <c r="N30" s="46" t="s">
        <v>234</v>
      </c>
    </row>
    <row r="31" spans="1:14" ht="18" customHeight="1">
      <c r="A31" s="290" t="s">
        <v>213</v>
      </c>
      <c r="B31" s="291"/>
      <c r="C31" s="291"/>
      <c r="D31" s="291"/>
      <c r="E31" s="292"/>
      <c r="F31" s="292">
        <v>12800</v>
      </c>
      <c r="G31" s="292"/>
      <c r="H31" s="292"/>
      <c r="I31" s="292"/>
      <c r="J31" s="114">
        <f t="shared" si="3"/>
        <v>12800</v>
      </c>
      <c r="K31" s="166"/>
      <c r="L31" s="318"/>
      <c r="M31" s="230">
        <v>1900100</v>
      </c>
      <c r="N31" s="46" t="s">
        <v>235</v>
      </c>
    </row>
    <row r="32" spans="1:14" ht="18" customHeight="1">
      <c r="A32" s="290" t="s">
        <v>250</v>
      </c>
      <c r="B32" s="291"/>
      <c r="C32" s="291"/>
      <c r="D32" s="291"/>
      <c r="E32" s="292"/>
      <c r="F32" s="292"/>
      <c r="G32" s="292"/>
      <c r="H32" s="292"/>
      <c r="I32" s="292"/>
      <c r="J32" s="114">
        <f t="shared" si="3"/>
        <v>0</v>
      </c>
      <c r="K32" s="166"/>
      <c r="L32" s="318"/>
      <c r="M32" s="289">
        <f>SUM(M26:M31)</f>
        <v>12421065.890000001</v>
      </c>
    </row>
    <row r="33" spans="1:13" ht="18" customHeight="1">
      <c r="A33" s="290" t="s">
        <v>214</v>
      </c>
      <c r="B33" s="291"/>
      <c r="C33" s="291"/>
      <c r="D33" s="291"/>
      <c r="E33" s="292"/>
      <c r="F33" s="292"/>
      <c r="G33" s="292"/>
      <c r="H33" s="292"/>
      <c r="I33" s="292"/>
      <c r="J33" s="114">
        <f t="shared" si="3"/>
        <v>0</v>
      </c>
      <c r="K33" s="227"/>
      <c r="L33" s="318"/>
    </row>
    <row r="34" spans="1:13" ht="18" customHeight="1">
      <c r="A34" s="290" t="s">
        <v>249</v>
      </c>
      <c r="B34" s="291"/>
      <c r="C34" s="291"/>
      <c r="D34" s="291"/>
      <c r="E34" s="292"/>
      <c r="F34" s="292"/>
      <c r="G34" s="292"/>
      <c r="H34" s="292"/>
      <c r="I34" s="292"/>
      <c r="J34" s="114">
        <f t="shared" si="3"/>
        <v>0</v>
      </c>
      <c r="K34" s="265"/>
      <c r="L34" s="318"/>
    </row>
    <row r="35" spans="1:13" ht="18" customHeight="1">
      <c r="A35" s="290" t="s">
        <v>222</v>
      </c>
      <c r="B35" s="291"/>
      <c r="C35" s="291"/>
      <c r="D35" s="291"/>
      <c r="E35" s="292"/>
      <c r="F35" s="292"/>
      <c r="G35" s="292"/>
      <c r="H35" s="292"/>
      <c r="I35" s="292"/>
      <c r="J35" s="114">
        <f t="shared" si="3"/>
        <v>0</v>
      </c>
      <c r="K35" s="266">
        <f t="shared" si="1"/>
        <v>0</v>
      </c>
      <c r="L35" s="109">
        <f>SUM(F29:F35)</f>
        <v>12800</v>
      </c>
    </row>
    <row r="36" spans="1:13" ht="18" customHeight="1">
      <c r="A36" s="290" t="s">
        <v>223</v>
      </c>
      <c r="B36" s="291"/>
      <c r="C36" s="291"/>
      <c r="D36" s="291"/>
      <c r="E36" s="292"/>
      <c r="F36" s="292"/>
      <c r="G36" s="292"/>
      <c r="H36" s="292"/>
      <c r="I36" s="292"/>
      <c r="J36" s="114">
        <f t="shared" si="3"/>
        <v>0</v>
      </c>
      <c r="K36" s="166">
        <f t="shared" si="1"/>
        <v>0</v>
      </c>
      <c r="L36" s="109">
        <v>147060</v>
      </c>
    </row>
    <row r="37" spans="1:13" ht="18" customHeight="1">
      <c r="A37" s="290" t="s">
        <v>168</v>
      </c>
      <c r="B37" s="291"/>
      <c r="C37" s="291"/>
      <c r="D37" s="291"/>
      <c r="E37" s="292"/>
      <c r="F37" s="292"/>
      <c r="G37" s="292"/>
      <c r="H37" s="292"/>
      <c r="I37" s="292"/>
      <c r="J37" s="114">
        <f t="shared" si="3"/>
        <v>0</v>
      </c>
      <c r="K37" s="166">
        <f t="shared" si="1"/>
        <v>0</v>
      </c>
    </row>
    <row r="38" spans="1:13" ht="18" customHeight="1">
      <c r="A38" s="290" t="s">
        <v>293</v>
      </c>
      <c r="B38" s="291"/>
      <c r="C38" s="291"/>
      <c r="D38" s="291"/>
      <c r="E38" s="292"/>
      <c r="F38" s="292"/>
      <c r="G38" s="292"/>
      <c r="H38" s="292"/>
      <c r="I38" s="292"/>
      <c r="J38" s="114">
        <f t="shared" si="3"/>
        <v>0</v>
      </c>
      <c r="K38" s="166">
        <f t="shared" si="1"/>
        <v>0</v>
      </c>
      <c r="L38" s="109">
        <v>1555500</v>
      </c>
    </row>
    <row r="39" spans="1:13" ht="18" customHeight="1">
      <c r="A39" s="290" t="s">
        <v>207</v>
      </c>
      <c r="B39" s="291"/>
      <c r="C39" s="291"/>
      <c r="D39" s="291"/>
      <c r="E39" s="292"/>
      <c r="F39" s="292">
        <v>10350</v>
      </c>
      <c r="G39" s="292"/>
      <c r="H39" s="292"/>
      <c r="I39" s="292"/>
      <c r="J39" s="114">
        <f t="shared" si="3"/>
        <v>10350</v>
      </c>
      <c r="K39" s="166"/>
    </row>
    <row r="40" spans="1:13" ht="18" customHeight="1">
      <c r="A40" s="83" t="s">
        <v>94</v>
      </c>
      <c r="B40" s="263"/>
      <c r="C40" s="263"/>
      <c r="D40" s="263"/>
      <c r="E40" s="94"/>
      <c r="F40" s="94"/>
      <c r="G40" s="94"/>
      <c r="H40" s="94"/>
      <c r="I40" s="94"/>
      <c r="J40" s="114">
        <f t="shared" si="3"/>
        <v>0</v>
      </c>
      <c r="K40" s="166">
        <f t="shared" si="1"/>
        <v>0</v>
      </c>
      <c r="L40" s="109">
        <v>177000</v>
      </c>
    </row>
    <row r="41" spans="1:13" ht="18" customHeight="1">
      <c r="A41" s="83" t="s">
        <v>95</v>
      </c>
      <c r="B41" s="263"/>
      <c r="C41" s="263"/>
      <c r="D41" s="263"/>
      <c r="E41" s="94"/>
      <c r="F41" s="94"/>
      <c r="G41" s="94"/>
      <c r="H41" s="94"/>
      <c r="I41" s="94"/>
      <c r="J41" s="114">
        <f t="shared" si="3"/>
        <v>0</v>
      </c>
      <c r="K41" s="166">
        <f t="shared" si="1"/>
        <v>0</v>
      </c>
      <c r="L41" s="109">
        <v>204055</v>
      </c>
    </row>
    <row r="42" spans="1:13" ht="18" customHeight="1">
      <c r="A42" s="77" t="s">
        <v>96</v>
      </c>
      <c r="B42" s="263"/>
      <c r="C42" s="263"/>
      <c r="D42" s="263"/>
      <c r="E42" s="94"/>
      <c r="F42" s="102"/>
      <c r="G42" s="94"/>
      <c r="H42" s="94"/>
      <c r="I42" s="94"/>
      <c r="J42" s="114">
        <f t="shared" si="3"/>
        <v>0</v>
      </c>
      <c r="K42" s="166">
        <f t="shared" si="1"/>
        <v>0</v>
      </c>
      <c r="L42" s="109">
        <v>71070</v>
      </c>
    </row>
    <row r="43" spans="1:13" ht="18" customHeight="1">
      <c r="A43" s="84" t="s">
        <v>92</v>
      </c>
      <c r="B43" s="63"/>
      <c r="C43" s="63"/>
      <c r="D43" s="63"/>
      <c r="E43" s="89">
        <f>SUM(E22:E42)</f>
        <v>0</v>
      </c>
      <c r="F43" s="303">
        <f t="shared" ref="F43:J43" si="4">SUM(F22:F42)</f>
        <v>1072252.4300000002</v>
      </c>
      <c r="G43" s="304">
        <f>SUM(G22:G42)</f>
        <v>0</v>
      </c>
      <c r="H43" s="94">
        <f t="shared" si="4"/>
        <v>0</v>
      </c>
      <c r="I43" s="94">
        <f t="shared" si="4"/>
        <v>0</v>
      </c>
      <c r="J43" s="292">
        <f t="shared" si="4"/>
        <v>1072252.4300000002</v>
      </c>
      <c r="K43" s="166">
        <f t="shared" si="1"/>
        <v>1072252.4300000002</v>
      </c>
      <c r="L43" s="109">
        <v>27800</v>
      </c>
      <c r="M43" s="46"/>
    </row>
    <row r="44" spans="1:13" ht="18" customHeight="1">
      <c r="A44" s="84" t="s">
        <v>103</v>
      </c>
      <c r="B44" s="63"/>
      <c r="C44" s="63"/>
      <c r="D44" s="63"/>
      <c r="E44" s="103">
        <f>SUM('DRRM Funds Aug 2016'!E45)</f>
        <v>0</v>
      </c>
      <c r="F44" s="103">
        <f>SUM('DRRM Funds Aug 2016'!F45)</f>
        <v>9334475.120000001</v>
      </c>
      <c r="G44" s="103">
        <f>SUM('DRRM Funds Aug 2016'!G45)</f>
        <v>0</v>
      </c>
      <c r="H44" s="103">
        <f>SUM('DRRM Funds Aug 2016'!H45)</f>
        <v>0</v>
      </c>
      <c r="I44" s="103">
        <f>SUM('DRRM Funds Aug 2016'!I45)</f>
        <v>0</v>
      </c>
      <c r="J44" s="103">
        <f>SUM('DRRM Funds Aug 2016'!J45)</f>
        <v>9334475.120000001</v>
      </c>
      <c r="K44" s="166">
        <f t="shared" si="1"/>
        <v>9334475.120000001</v>
      </c>
      <c r="L44" s="109">
        <v>126865</v>
      </c>
      <c r="M44" s="109">
        <f>SUM(E44:H44)</f>
        <v>9334475.120000001</v>
      </c>
    </row>
    <row r="45" spans="1:13" ht="18" customHeight="1">
      <c r="A45" s="84" t="s">
        <v>104</v>
      </c>
      <c r="B45" s="63"/>
      <c r="C45" s="63"/>
      <c r="D45" s="63"/>
      <c r="E45" s="103">
        <f>SUM(E43:E44)</f>
        <v>0</v>
      </c>
      <c r="F45" s="103">
        <f t="shared" ref="F45:J45" si="5">SUM(F43:F44)</f>
        <v>10406727.550000001</v>
      </c>
      <c r="G45" s="103">
        <f t="shared" si="5"/>
        <v>0</v>
      </c>
      <c r="H45" s="103">
        <f t="shared" si="5"/>
        <v>0</v>
      </c>
      <c r="I45" s="103">
        <f t="shared" si="5"/>
        <v>0</v>
      </c>
      <c r="J45" s="103">
        <f t="shared" si="5"/>
        <v>10406727.550000001</v>
      </c>
      <c r="K45" s="166">
        <f t="shared" si="1"/>
        <v>10406727.550000001</v>
      </c>
      <c r="L45" s="174">
        <f>SUM(L35:L44)</f>
        <v>2322150</v>
      </c>
      <c r="M45" s="109">
        <v>10492358.970000001</v>
      </c>
    </row>
    <row r="46" spans="1:13" ht="18" customHeight="1">
      <c r="A46" s="70" t="s">
        <v>93</v>
      </c>
      <c r="B46" s="72"/>
      <c r="C46" s="72"/>
      <c r="D46" s="80"/>
      <c r="E46" s="231">
        <f t="shared" ref="E46:J46" si="6">E20-E43</f>
        <v>30221858.42255</v>
      </c>
      <c r="F46" s="231">
        <f t="shared" si="6"/>
        <v>29583321.75595</v>
      </c>
      <c r="G46" s="231">
        <f>G20-G43</f>
        <v>0</v>
      </c>
      <c r="H46" s="231">
        <f t="shared" si="6"/>
        <v>0</v>
      </c>
      <c r="I46" s="231">
        <f t="shared" si="6"/>
        <v>0</v>
      </c>
      <c r="J46" s="231">
        <f t="shared" si="6"/>
        <v>59805180.178499997</v>
      </c>
      <c r="K46" s="166">
        <f>SUM(E46:I46)</f>
        <v>59805180.178499997</v>
      </c>
      <c r="L46" s="46"/>
      <c r="M46" s="109">
        <f>M45-L45</f>
        <v>8170208.9700000007</v>
      </c>
    </row>
    <row r="47" spans="1:13" ht="18" customHeight="1">
      <c r="A47" s="55"/>
      <c r="B47" s="55"/>
      <c r="C47" s="55"/>
      <c r="D47" s="55"/>
      <c r="E47" s="55"/>
      <c r="F47" s="55"/>
      <c r="G47" s="55"/>
      <c r="H47" s="55"/>
      <c r="I47" s="55"/>
      <c r="J47" s="115" t="s">
        <v>74</v>
      </c>
      <c r="K47" s="92">
        <f>SUM(E46:F46)</f>
        <v>59805180.178499997</v>
      </c>
      <c r="M47" s="109">
        <v>0</v>
      </c>
    </row>
    <row r="48" spans="1:13">
      <c r="A48" s="55" t="s">
        <v>83</v>
      </c>
      <c r="B48" s="55"/>
      <c r="C48" s="55"/>
      <c r="D48" s="55"/>
      <c r="E48" s="55"/>
      <c r="F48" s="55"/>
      <c r="G48" s="55"/>
      <c r="H48" s="55" t="s">
        <v>29</v>
      </c>
      <c r="I48" s="55"/>
      <c r="J48" s="115"/>
      <c r="K48" s="55"/>
      <c r="L48" s="109">
        <v>752760</v>
      </c>
    </row>
    <row r="49" spans="1:13">
      <c r="A49" s="55"/>
      <c r="B49" s="55"/>
      <c r="C49" s="55"/>
      <c r="D49" s="55"/>
      <c r="E49" s="55"/>
      <c r="F49" s="55"/>
      <c r="G49" s="55"/>
      <c r="H49" s="55"/>
      <c r="I49" s="55"/>
      <c r="J49" s="115"/>
      <c r="K49" s="55"/>
      <c r="L49" s="109">
        <v>902075</v>
      </c>
    </row>
    <row r="50" spans="1:13">
      <c r="A50" s="82" t="s">
        <v>202</v>
      </c>
      <c r="B50" s="55"/>
      <c r="C50" s="55"/>
      <c r="D50" s="55"/>
      <c r="E50" s="55"/>
      <c r="F50" s="55"/>
      <c r="G50" s="55"/>
      <c r="H50" s="241" t="s">
        <v>72</v>
      </c>
      <c r="I50" s="55"/>
      <c r="J50" s="115"/>
      <c r="K50" s="55"/>
      <c r="L50" s="109">
        <v>504234.65</v>
      </c>
      <c r="M50" s="109">
        <v>8736531.7100000009</v>
      </c>
    </row>
    <row r="51" spans="1:13">
      <c r="A51" s="140" t="s">
        <v>287</v>
      </c>
      <c r="B51" s="55"/>
      <c r="C51" s="55"/>
      <c r="D51" s="55"/>
      <c r="E51" s="55"/>
      <c r="F51" s="55"/>
      <c r="G51" s="55"/>
      <c r="H51" s="140" t="s">
        <v>85</v>
      </c>
      <c r="I51" s="55"/>
      <c r="J51" s="115"/>
      <c r="K51" s="55"/>
      <c r="L51" s="109">
        <v>899145</v>
      </c>
      <c r="M51" s="109">
        <v>10140</v>
      </c>
    </row>
    <row r="52" spans="1:13">
      <c r="A52" s="55"/>
      <c r="B52" s="55"/>
      <c r="C52" s="55"/>
      <c r="D52" s="55"/>
      <c r="E52" s="121" t="s">
        <v>237</v>
      </c>
      <c r="F52" s="55"/>
      <c r="G52" s="55"/>
      <c r="H52" s="55"/>
      <c r="I52" s="55"/>
      <c r="J52" s="115"/>
      <c r="K52" s="55"/>
      <c r="L52" s="109">
        <v>1087927.3999999999</v>
      </c>
      <c r="M52" s="109">
        <f>SUM(M50:M51)</f>
        <v>8746671.7100000009</v>
      </c>
    </row>
    <row r="53" spans="1:13">
      <c r="A53" s="55"/>
      <c r="B53" s="55"/>
      <c r="C53" s="55"/>
      <c r="D53" s="55"/>
      <c r="E53" s="115"/>
      <c r="F53" s="55"/>
      <c r="G53" s="55"/>
      <c r="H53" s="55"/>
      <c r="I53" s="115"/>
      <c r="J53" s="115"/>
      <c r="K53" s="55"/>
      <c r="L53" s="109">
        <v>2896515.5</v>
      </c>
    </row>
    <row r="54" spans="1:13">
      <c r="A54" s="55"/>
      <c r="B54" s="55"/>
      <c r="C54" s="55"/>
      <c r="D54" s="55"/>
      <c r="E54" s="82" t="s">
        <v>298</v>
      </c>
      <c r="F54" s="55"/>
      <c r="G54" s="55"/>
      <c r="H54" s="55"/>
      <c r="I54" s="115"/>
      <c r="J54" s="115"/>
      <c r="K54" s="55"/>
    </row>
    <row r="55" spans="1:13">
      <c r="A55" s="55"/>
      <c r="B55" s="55"/>
      <c r="C55" s="55"/>
      <c r="D55" s="55"/>
      <c r="E55" s="55" t="s">
        <v>299</v>
      </c>
      <c r="F55" s="55"/>
      <c r="G55" s="55"/>
      <c r="H55" s="55"/>
      <c r="I55" s="115"/>
      <c r="J55" s="115"/>
      <c r="K55" s="55"/>
      <c r="L55" s="109">
        <v>120000</v>
      </c>
    </row>
    <row r="56" spans="1:13">
      <c r="I56" s="109"/>
      <c r="M56" s="46"/>
    </row>
    <row r="57" spans="1:13">
      <c r="F57" s="121"/>
      <c r="I57" s="109"/>
      <c r="K57" s="55"/>
      <c r="L57" s="115">
        <v>630000</v>
      </c>
      <c r="M57" s="183">
        <v>10644424.82</v>
      </c>
    </row>
    <row r="58" spans="1:13">
      <c r="B58" s="276" t="s">
        <v>236</v>
      </c>
      <c r="F58" s="115"/>
      <c r="I58" s="109"/>
      <c r="J58" s="109">
        <v>7850000</v>
      </c>
      <c r="L58" s="109">
        <v>1000000</v>
      </c>
      <c r="M58" s="183">
        <v>13157941.960000001</v>
      </c>
    </row>
    <row r="59" spans="1:13">
      <c r="I59" s="109"/>
      <c r="J59" s="109">
        <v>800000</v>
      </c>
      <c r="L59" s="109">
        <v>1300000</v>
      </c>
      <c r="M59" s="184">
        <v>0</v>
      </c>
    </row>
    <row r="60" spans="1:13">
      <c r="A60" s="46" t="s">
        <v>282</v>
      </c>
      <c r="B60" s="392">
        <f>1493800+99900</f>
        <v>1593700</v>
      </c>
      <c r="C60" s="392"/>
      <c r="I60" s="109"/>
      <c r="J60" s="109">
        <v>1200000</v>
      </c>
      <c r="L60" s="109">
        <v>2000000</v>
      </c>
      <c r="M60" s="183">
        <f>SUM(M57:M59)</f>
        <v>23802366.780000001</v>
      </c>
    </row>
    <row r="61" spans="1:13">
      <c r="A61" s="46" t="s">
        <v>281</v>
      </c>
      <c r="B61" s="392">
        <v>1400000</v>
      </c>
      <c r="C61" s="392"/>
      <c r="I61" s="109"/>
      <c r="J61" s="109">
        <v>3500000</v>
      </c>
      <c r="L61" s="109">
        <v>150000</v>
      </c>
      <c r="M61" s="183">
        <v>24092226.780000001</v>
      </c>
    </row>
    <row r="62" spans="1:13">
      <c r="A62" s="46" t="s">
        <v>258</v>
      </c>
      <c r="B62" s="393">
        <v>1975000</v>
      </c>
      <c r="C62" s="393"/>
      <c r="I62" s="109">
        <v>100000</v>
      </c>
      <c r="J62" s="116">
        <f>SUM(J58:J61)</f>
        <v>13350000</v>
      </c>
      <c r="L62" s="109">
        <v>4590281.96</v>
      </c>
      <c r="M62" s="183">
        <f>M61-M60</f>
        <v>289860</v>
      </c>
    </row>
    <row r="63" spans="1:13">
      <c r="A63" s="46" t="s">
        <v>283</v>
      </c>
      <c r="B63" s="387">
        <v>1214184.3500000001</v>
      </c>
      <c r="C63" s="387"/>
      <c r="I63" s="109">
        <v>4589687.1100000003</v>
      </c>
      <c r="J63" s="109">
        <v>16829861.079999998</v>
      </c>
      <c r="L63" s="109">
        <f>SUM(L57:L62)</f>
        <v>9670281.9600000009</v>
      </c>
      <c r="M63" s="46"/>
    </row>
    <row r="64" spans="1:13">
      <c r="B64" s="388">
        <f>SUM(B60:C63)</f>
        <v>6182884.3499999996</v>
      </c>
      <c r="C64" s="388"/>
      <c r="I64" s="116">
        <f>SUM(I58:I63)</f>
        <v>4689687.1100000003</v>
      </c>
      <c r="J64" s="109">
        <f>J62-J63</f>
        <v>-3479861.0799999982</v>
      </c>
      <c r="M64" s="109">
        <v>24416573.030000001</v>
      </c>
    </row>
    <row r="65" spans="1:13">
      <c r="I65" s="109">
        <v>7212797.6100000003</v>
      </c>
      <c r="M65" s="109">
        <v>24708913.030000001</v>
      </c>
    </row>
    <row r="66" spans="1:13">
      <c r="I66" s="109">
        <f>I64-I65</f>
        <v>-2523110.5</v>
      </c>
      <c r="M66" s="109">
        <f>M64-M65</f>
        <v>-292340</v>
      </c>
    </row>
    <row r="67" spans="1:13">
      <c r="I67" s="109"/>
      <c r="M67" s="109">
        <v>289860</v>
      </c>
    </row>
    <row r="68" spans="1:13">
      <c r="I68" s="109"/>
      <c r="J68" s="109">
        <v>25346381.800000001</v>
      </c>
      <c r="M68" s="173">
        <f>SUM(M66:M67)</f>
        <v>-2480</v>
      </c>
    </row>
    <row r="69" spans="1:13">
      <c r="I69" s="109"/>
      <c r="J69" s="109">
        <v>24042658.690000001</v>
      </c>
      <c r="M69" s="46"/>
    </row>
    <row r="70" spans="1:13">
      <c r="I70" s="109"/>
      <c r="J70" s="109">
        <f>J68-J69</f>
        <v>1303723.1099999994</v>
      </c>
      <c r="L70" s="109">
        <v>400000</v>
      </c>
      <c r="M70" s="46"/>
    </row>
    <row r="71" spans="1:13">
      <c r="I71" s="109"/>
      <c r="L71" s="109">
        <v>1000000</v>
      </c>
      <c r="M71" s="109">
        <v>25279.7</v>
      </c>
    </row>
    <row r="72" spans="1:13">
      <c r="I72" s="109"/>
      <c r="M72" s="109">
        <v>27759.7</v>
      </c>
    </row>
    <row r="73" spans="1:13">
      <c r="H73" s="109"/>
      <c r="I73" s="109"/>
      <c r="M73" s="173">
        <f>M71-M72</f>
        <v>-2480</v>
      </c>
    </row>
    <row r="74" spans="1:13">
      <c r="H74" s="109">
        <v>4455551.57</v>
      </c>
      <c r="I74" s="109"/>
      <c r="J74" s="109">
        <v>17496381.800000001</v>
      </c>
      <c r="M74" s="46"/>
    </row>
    <row r="75" spans="1:13">
      <c r="H75" s="109">
        <v>5760963.6399999997</v>
      </c>
      <c r="I75" s="109"/>
      <c r="J75" s="109">
        <v>7850000</v>
      </c>
      <c r="M75" s="46"/>
    </row>
    <row r="76" spans="1:13">
      <c r="H76" s="109">
        <f>SUM(H74:H75)</f>
        <v>10216515.210000001</v>
      </c>
      <c r="I76" s="109"/>
      <c r="J76" s="109">
        <f>SUM(J74:J75)</f>
        <v>25346381.800000001</v>
      </c>
      <c r="M76" s="46"/>
    </row>
    <row r="77" spans="1:13" s="109" customFormat="1">
      <c r="A77" s="46"/>
      <c r="B77" s="46"/>
      <c r="C77" s="46"/>
      <c r="D77" s="46"/>
      <c r="E77" s="46"/>
      <c r="F77" s="46"/>
      <c r="G77" s="46"/>
    </row>
    <row r="78" spans="1:13" s="109" customFormat="1">
      <c r="A78" s="46"/>
      <c r="B78" s="46"/>
      <c r="C78" s="46"/>
      <c r="D78" s="46"/>
      <c r="E78" s="46"/>
      <c r="F78" s="46"/>
      <c r="G78" s="46"/>
    </row>
    <row r="79" spans="1:13" s="109" customFormat="1">
      <c r="A79" s="46"/>
      <c r="B79" s="46"/>
      <c r="C79" s="46"/>
      <c r="D79" s="46"/>
      <c r="E79" s="46"/>
      <c r="F79" s="46"/>
      <c r="G79" s="46"/>
    </row>
    <row r="80" spans="1:13" s="109" customFormat="1">
      <c r="A80" s="46"/>
      <c r="B80" s="46"/>
      <c r="C80" s="46"/>
      <c r="D80" s="46"/>
      <c r="E80" s="46"/>
      <c r="F80" s="46"/>
      <c r="G80" s="46"/>
    </row>
    <row r="81" spans="1:11" s="109" customFormat="1">
      <c r="A81" s="46"/>
      <c r="B81" s="46"/>
      <c r="C81" s="46"/>
      <c r="D81" s="46"/>
      <c r="E81" s="46"/>
      <c r="F81" s="46"/>
      <c r="G81" s="46"/>
    </row>
    <row r="82" spans="1:11" s="109" customFormat="1">
      <c r="A82" s="46"/>
      <c r="B82" s="46"/>
      <c r="C82" s="46"/>
      <c r="D82" s="46"/>
      <c r="E82" s="46"/>
      <c r="F82" s="46"/>
      <c r="G82" s="46"/>
    </row>
    <row r="83" spans="1:11" s="109" customFormat="1">
      <c r="A83" s="46"/>
      <c r="B83" s="46"/>
      <c r="C83" s="46"/>
      <c r="D83" s="46"/>
      <c r="E83" s="46"/>
      <c r="F83" s="46"/>
      <c r="G83" s="46"/>
      <c r="H83" s="46"/>
    </row>
    <row r="84" spans="1:11" s="109" customFormat="1">
      <c r="A84" s="46"/>
      <c r="B84" s="46"/>
      <c r="C84" s="46"/>
      <c r="D84" s="46"/>
      <c r="E84" s="46"/>
      <c r="F84" s="46"/>
      <c r="G84" s="46"/>
      <c r="H84" s="46"/>
    </row>
    <row r="85" spans="1:11" s="109" customFormat="1">
      <c r="A85" s="46"/>
      <c r="B85" s="46"/>
      <c r="C85" s="46"/>
      <c r="D85" s="46"/>
      <c r="E85" s="46"/>
      <c r="F85" s="46"/>
      <c r="G85" s="46"/>
      <c r="H85" s="46"/>
    </row>
    <row r="86" spans="1:11" s="109" customFormat="1">
      <c r="A86" s="46"/>
      <c r="B86" s="46"/>
      <c r="C86" s="46"/>
      <c r="D86" s="46"/>
      <c r="E86" s="46"/>
      <c r="F86" s="46"/>
      <c r="G86" s="46"/>
      <c r="H86" s="46"/>
    </row>
    <row r="87" spans="1:11" s="109" customFormat="1">
      <c r="A87" s="46"/>
      <c r="B87" s="46"/>
      <c r="C87" s="46"/>
      <c r="D87" s="46"/>
      <c r="E87" s="46"/>
      <c r="F87" s="46"/>
      <c r="G87" s="46"/>
      <c r="H87" s="46"/>
      <c r="K87" s="46"/>
    </row>
    <row r="88" spans="1:11" s="109" customFormat="1">
      <c r="A88" s="46"/>
      <c r="B88" s="46"/>
      <c r="C88" s="46"/>
      <c r="D88" s="46"/>
      <c r="E88" s="46"/>
      <c r="F88" s="46"/>
      <c r="G88" s="46"/>
      <c r="H88" s="46"/>
      <c r="K88" s="46"/>
    </row>
    <row r="89" spans="1:11" s="109" customFormat="1">
      <c r="A89" s="46"/>
      <c r="B89" s="46"/>
      <c r="C89" s="46"/>
      <c r="D89" s="46"/>
      <c r="E89" s="46"/>
      <c r="F89" s="46"/>
      <c r="G89" s="46"/>
      <c r="H89" s="46"/>
      <c r="K89" s="46"/>
    </row>
    <row r="90" spans="1:11" s="109" customFormat="1">
      <c r="A90" s="46"/>
      <c r="B90" s="46"/>
      <c r="C90" s="46"/>
      <c r="D90" s="46"/>
      <c r="E90" s="46"/>
      <c r="F90" s="46"/>
      <c r="G90" s="46"/>
      <c r="H90" s="46"/>
      <c r="K90" s="46"/>
    </row>
    <row r="91" spans="1:11" s="109" customFormat="1">
      <c r="A91" s="46"/>
      <c r="B91" s="46"/>
      <c r="C91" s="46"/>
      <c r="D91" s="46"/>
      <c r="E91" s="46"/>
      <c r="F91" s="46"/>
      <c r="G91" s="46"/>
      <c r="H91" s="46"/>
      <c r="K91" s="46"/>
    </row>
    <row r="92" spans="1:11" s="109" customFormat="1">
      <c r="A92" s="46"/>
      <c r="B92" s="46"/>
      <c r="C92" s="46"/>
      <c r="D92" s="46"/>
      <c r="E92" s="46"/>
      <c r="F92" s="46"/>
      <c r="G92" s="46"/>
      <c r="H92" s="46"/>
      <c r="K92" s="46"/>
    </row>
    <row r="93" spans="1:11" s="109" customFormat="1">
      <c r="A93" s="46"/>
      <c r="B93" s="46"/>
      <c r="C93" s="46"/>
      <c r="D93" s="46"/>
      <c r="E93" s="46"/>
      <c r="F93" s="46"/>
      <c r="G93" s="46"/>
      <c r="H93" s="46"/>
      <c r="K93" s="46"/>
    </row>
    <row r="94" spans="1:11" s="109" customFormat="1">
      <c r="A94" s="46"/>
      <c r="B94" s="46"/>
      <c r="C94" s="46"/>
      <c r="D94" s="46"/>
      <c r="E94" s="46"/>
      <c r="F94" s="46"/>
      <c r="G94" s="46"/>
      <c r="H94" s="46"/>
      <c r="K94" s="46"/>
    </row>
    <row r="95" spans="1:11" s="109" customFormat="1">
      <c r="A95" s="46"/>
      <c r="B95" s="46"/>
      <c r="C95" s="46"/>
      <c r="D95" s="46"/>
      <c r="E95" s="46"/>
      <c r="F95" s="46"/>
      <c r="G95" s="46"/>
      <c r="H95" s="46"/>
      <c r="K95" s="46"/>
    </row>
    <row r="96" spans="1:11" s="109" customFormat="1">
      <c r="A96" s="46"/>
      <c r="B96" s="46"/>
      <c r="C96" s="46"/>
      <c r="D96" s="46"/>
      <c r="E96" s="46"/>
      <c r="F96" s="46"/>
      <c r="G96" s="46"/>
      <c r="H96" s="46"/>
      <c r="K96" s="46"/>
    </row>
    <row r="97" spans="1:11" s="109" customFormat="1">
      <c r="A97" s="46"/>
      <c r="B97" s="46"/>
      <c r="C97" s="46"/>
      <c r="D97" s="46"/>
      <c r="E97" s="46"/>
      <c r="F97" s="46"/>
      <c r="G97" s="46"/>
      <c r="H97" s="46"/>
      <c r="K97" s="46"/>
    </row>
    <row r="98" spans="1:11" s="109" customFormat="1">
      <c r="A98" s="46"/>
      <c r="B98" s="46"/>
      <c r="C98" s="46"/>
      <c r="D98" s="46"/>
      <c r="E98" s="46"/>
      <c r="F98" s="46"/>
      <c r="G98" s="46"/>
      <c r="H98" s="46"/>
      <c r="K98" s="46"/>
    </row>
    <row r="99" spans="1:11" s="109" customFormat="1">
      <c r="A99" s="46"/>
      <c r="B99" s="46"/>
      <c r="C99" s="46"/>
      <c r="D99" s="46"/>
      <c r="E99" s="46"/>
      <c r="F99" s="46"/>
      <c r="G99" s="46"/>
      <c r="H99" s="46"/>
      <c r="K99" s="46"/>
    </row>
  </sheetData>
  <mergeCells count="8">
    <mergeCell ref="B63:C63"/>
    <mergeCell ref="B64:C64"/>
    <mergeCell ref="A2:J2"/>
    <mergeCell ref="A3:J3"/>
    <mergeCell ref="A4:J4"/>
    <mergeCell ref="B60:C60"/>
    <mergeCell ref="B61:C61"/>
    <mergeCell ref="B62:C62"/>
  </mergeCells>
  <printOptions horizontalCentered="1"/>
  <pageMargins left="0.02" right="0.15" top="0.39" bottom="0.1" header="0.21" footer="0.1"/>
  <pageSetup scale="84" orientation="portrait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N99"/>
  <sheetViews>
    <sheetView topLeftCell="A31" workbookViewId="0">
      <selection activeCell="C48" sqref="C47:C48"/>
    </sheetView>
  </sheetViews>
  <sheetFormatPr defaultRowHeight="12.75"/>
  <cols>
    <col min="1" max="1" width="6" style="46" customWidth="1"/>
    <col min="2" max="3" width="9.140625" style="46"/>
    <col min="4" max="4" width="16.5703125" style="46" customWidth="1"/>
    <col min="5" max="6" width="13.85546875" style="46" customWidth="1"/>
    <col min="7" max="7" width="10" style="46" customWidth="1"/>
    <col min="8" max="8" width="11.5703125" style="46" customWidth="1"/>
    <col min="9" max="9" width="11.42578125" style="46" customWidth="1"/>
    <col min="10" max="10" width="13.28515625" style="109" customWidth="1"/>
    <col min="11" max="11" width="15.7109375" style="46" customWidth="1"/>
    <col min="12" max="12" width="16.85546875" style="109" customWidth="1"/>
    <col min="13" max="13" width="17" style="109" customWidth="1"/>
    <col min="14" max="14" width="17" style="46" customWidth="1"/>
    <col min="15" max="16384" width="9.140625" style="46"/>
  </cols>
  <sheetData>
    <row r="1" spans="1:13">
      <c r="A1" s="47"/>
      <c r="B1" s="48"/>
      <c r="C1" s="48"/>
      <c r="D1" s="48"/>
      <c r="E1" s="48"/>
      <c r="F1" s="48"/>
      <c r="G1" s="48"/>
      <c r="H1" s="48"/>
      <c r="I1" s="48"/>
      <c r="J1" s="169" t="s">
        <v>81</v>
      </c>
    </row>
    <row r="2" spans="1:13">
      <c r="A2" s="389" t="s">
        <v>80</v>
      </c>
      <c r="B2" s="390"/>
      <c r="C2" s="390"/>
      <c r="D2" s="390"/>
      <c r="E2" s="390"/>
      <c r="F2" s="390"/>
      <c r="G2" s="390"/>
      <c r="H2" s="390"/>
      <c r="I2" s="390"/>
      <c r="J2" s="391"/>
    </row>
    <row r="3" spans="1:13">
      <c r="A3" s="389" t="s">
        <v>301</v>
      </c>
      <c r="B3" s="390"/>
      <c r="C3" s="390"/>
      <c r="D3" s="390"/>
      <c r="E3" s="390"/>
      <c r="F3" s="390"/>
      <c r="G3" s="390"/>
      <c r="H3" s="390"/>
      <c r="I3" s="390"/>
      <c r="J3" s="391"/>
    </row>
    <row r="4" spans="1:13">
      <c r="A4" s="389"/>
      <c r="B4" s="390"/>
      <c r="C4" s="390"/>
      <c r="D4" s="390"/>
      <c r="E4" s="390"/>
      <c r="F4" s="390"/>
      <c r="G4" s="390"/>
      <c r="H4" s="390"/>
      <c r="I4" s="390"/>
      <c r="J4" s="391"/>
    </row>
    <row r="5" spans="1:13">
      <c r="A5" s="54" t="s">
        <v>77</v>
      </c>
      <c r="B5" s="317"/>
      <c r="C5" s="317"/>
      <c r="D5" s="317"/>
      <c r="E5" s="317"/>
      <c r="F5" s="317"/>
      <c r="G5" s="317"/>
      <c r="H5" s="317"/>
      <c r="I5" s="317"/>
      <c r="J5" s="170"/>
    </row>
    <row r="6" spans="1:13">
      <c r="A6" s="54" t="s">
        <v>76</v>
      </c>
      <c r="B6" s="55"/>
      <c r="C6" s="55"/>
      <c r="D6" s="55"/>
      <c r="E6" s="55"/>
      <c r="F6" s="55"/>
      <c r="G6" s="55"/>
      <c r="H6" s="55" t="s">
        <v>278</v>
      </c>
      <c r="I6" s="55"/>
      <c r="J6" s="171"/>
      <c r="K6" s="46" t="s">
        <v>210</v>
      </c>
    </row>
    <row r="7" spans="1:13">
      <c r="A7" s="47"/>
      <c r="B7" s="48"/>
      <c r="C7" s="48"/>
      <c r="D7" s="49"/>
      <c r="E7" s="88" t="s">
        <v>8</v>
      </c>
      <c r="F7" s="50"/>
      <c r="G7" s="52"/>
      <c r="H7" s="52"/>
      <c r="I7" s="53"/>
      <c r="J7" s="110"/>
    </row>
    <row r="8" spans="1:13">
      <c r="A8" s="54"/>
      <c r="B8" s="55"/>
      <c r="C8" s="55"/>
      <c r="D8" s="56"/>
      <c r="E8" s="316" t="s">
        <v>9</v>
      </c>
      <c r="F8" s="53"/>
      <c r="G8" s="59"/>
      <c r="H8" s="59"/>
      <c r="I8" s="58"/>
      <c r="J8" s="111"/>
    </row>
    <row r="9" spans="1:13">
      <c r="A9" s="61" t="s">
        <v>68</v>
      </c>
      <c r="B9" s="55"/>
      <c r="C9" s="55"/>
      <c r="D9" s="56"/>
      <c r="E9" s="316" t="s">
        <v>10</v>
      </c>
      <c r="F9" s="60" t="s">
        <v>12</v>
      </c>
      <c r="G9" s="60" t="s">
        <v>14</v>
      </c>
      <c r="H9" s="60" t="s">
        <v>20</v>
      </c>
      <c r="I9" s="60" t="s">
        <v>22</v>
      </c>
      <c r="J9" s="112" t="s">
        <v>24</v>
      </c>
    </row>
    <row r="10" spans="1:13">
      <c r="A10" s="54"/>
      <c r="B10" s="55"/>
      <c r="C10" s="55"/>
      <c r="D10" s="56"/>
      <c r="E10" s="316" t="s">
        <v>11</v>
      </c>
      <c r="F10" s="60" t="s">
        <v>13</v>
      </c>
      <c r="G10" s="59"/>
      <c r="H10" s="60" t="s">
        <v>21</v>
      </c>
      <c r="I10" s="60" t="s">
        <v>23</v>
      </c>
      <c r="J10" s="111"/>
    </row>
    <row r="11" spans="1:13">
      <c r="A11" s="62"/>
      <c r="B11" s="63"/>
      <c r="C11" s="63"/>
      <c r="D11" s="64"/>
      <c r="E11" s="65">
        <v>0.3</v>
      </c>
      <c r="F11" s="66">
        <v>0.7</v>
      </c>
      <c r="G11" s="59"/>
      <c r="H11" s="67"/>
      <c r="I11" s="68"/>
      <c r="J11" s="113"/>
    </row>
    <row r="12" spans="1:13" ht="18" customHeight="1">
      <c r="A12" s="70" t="s">
        <v>0</v>
      </c>
      <c r="B12" s="71"/>
      <c r="C12" s="71"/>
      <c r="D12" s="72"/>
      <c r="E12" s="51"/>
      <c r="F12" s="51"/>
      <c r="G12" s="51"/>
      <c r="H12" s="51"/>
      <c r="I12" s="51"/>
      <c r="J12" s="110"/>
      <c r="L12" s="318" t="s">
        <v>90</v>
      </c>
      <c r="M12" s="318" t="s">
        <v>89</v>
      </c>
    </row>
    <row r="13" spans="1:13" ht="18" customHeight="1">
      <c r="A13" s="73" t="s">
        <v>1</v>
      </c>
      <c r="B13" s="72"/>
      <c r="C13" s="72"/>
      <c r="D13" s="72"/>
      <c r="E13" s="94">
        <f>M19*0.3</f>
        <v>1212251.0056499997</v>
      </c>
      <c r="F13" s="94">
        <f>M19*0.7</f>
        <v>2828585.6798499995</v>
      </c>
      <c r="G13" s="94"/>
      <c r="H13" s="94"/>
      <c r="I13" s="94"/>
      <c r="J13" s="114">
        <f>SUM(E13:I13)</f>
        <v>4040836.6854999992</v>
      </c>
      <c r="K13" s="175" t="e">
        <f>SUM(J13+#REF!+#REF!+#REF!+#REF!+#REF!+#REF!+#REF!+#REF!+#REF!+#REF!+#REF!)</f>
        <v>#REF!</v>
      </c>
      <c r="L13" s="109">
        <v>21367644.399999999</v>
      </c>
      <c r="M13" s="109">
        <v>4171566.4</v>
      </c>
    </row>
    <row r="14" spans="1:13" ht="18" customHeight="1">
      <c r="A14" s="73" t="s">
        <v>2</v>
      </c>
      <c r="B14" s="72"/>
      <c r="C14" s="72"/>
      <c r="D14" s="72"/>
      <c r="E14" s="102"/>
      <c r="F14" s="102"/>
      <c r="G14" s="102"/>
      <c r="H14" s="102"/>
      <c r="I14" s="102"/>
      <c r="J14" s="110"/>
      <c r="K14" s="117" t="s">
        <v>88</v>
      </c>
      <c r="L14" s="109">
        <v>9400000</v>
      </c>
      <c r="M14" s="109">
        <v>5637398.9699999997</v>
      </c>
    </row>
    <row r="15" spans="1:13" ht="18" customHeight="1">
      <c r="A15" s="75" t="s">
        <v>3</v>
      </c>
      <c r="B15" s="48"/>
      <c r="C15" s="48"/>
      <c r="D15" s="48"/>
      <c r="E15" s="102"/>
      <c r="F15" s="102"/>
      <c r="G15" s="102"/>
      <c r="H15" s="102"/>
      <c r="I15" s="102"/>
      <c r="J15" s="110"/>
      <c r="L15" s="116">
        <f>SUM(L13:L14)</f>
        <v>30767644.399999999</v>
      </c>
      <c r="M15" s="116">
        <f>SUM(M13:M14)</f>
        <v>9808965.3699999992</v>
      </c>
    </row>
    <row r="16" spans="1:13" ht="18" customHeight="1">
      <c r="A16" s="76" t="s">
        <v>78</v>
      </c>
      <c r="B16" s="55"/>
      <c r="C16" s="55"/>
      <c r="D16" s="55"/>
      <c r="E16" s="103"/>
      <c r="F16" s="103"/>
      <c r="G16" s="103"/>
      <c r="H16" s="103"/>
      <c r="I16" s="103"/>
      <c r="J16" s="113"/>
      <c r="K16" s="46">
        <v>11930281.960000001</v>
      </c>
    </row>
    <row r="17" spans="1:14" ht="18" customHeight="1">
      <c r="A17" s="77" t="s">
        <v>79</v>
      </c>
      <c r="B17" s="72"/>
      <c r="C17" s="72"/>
      <c r="D17" s="72"/>
      <c r="E17" s="94"/>
      <c r="F17" s="94"/>
      <c r="G17" s="94"/>
      <c r="H17" s="94"/>
      <c r="I17" s="94"/>
      <c r="J17" s="113">
        <f>SUM(E17:I17)</f>
        <v>0</v>
      </c>
      <c r="K17" s="173">
        <f>K16-J16</f>
        <v>11930281.960000001</v>
      </c>
      <c r="M17" s="109">
        <v>25936573.030000001</v>
      </c>
    </row>
    <row r="18" spans="1:14" ht="18" customHeight="1">
      <c r="A18" s="70" t="s">
        <v>7</v>
      </c>
      <c r="B18" s="72"/>
      <c r="C18" s="72"/>
      <c r="D18" s="72"/>
      <c r="E18" s="119">
        <f>SUM(E13:E17)</f>
        <v>1212251.0056499997</v>
      </c>
      <c r="F18" s="119">
        <f t="shared" ref="F18:J18" si="0">SUM(F13:F17)</f>
        <v>2828585.6798499995</v>
      </c>
      <c r="G18" s="119">
        <f t="shared" si="0"/>
        <v>0</v>
      </c>
      <c r="H18" s="119">
        <f t="shared" si="0"/>
        <v>0</v>
      </c>
      <c r="I18" s="119">
        <f t="shared" si="0"/>
        <v>0</v>
      </c>
      <c r="J18" s="305">
        <f t="shared" si="0"/>
        <v>4040836.6854999992</v>
      </c>
      <c r="K18" s="166">
        <f t="shared" ref="K18:K45" si="1">SUM(E18:I18)</f>
        <v>4040836.6854999992</v>
      </c>
      <c r="L18" s="193" t="s">
        <v>171</v>
      </c>
      <c r="M18" s="192">
        <f>524565769.65-443749035.94</f>
        <v>80816733.709999979</v>
      </c>
    </row>
    <row r="19" spans="1:14" s="109" customFormat="1" ht="18" customHeight="1">
      <c r="A19" s="74" t="s">
        <v>99</v>
      </c>
      <c r="B19" s="72" t="s">
        <v>100</v>
      </c>
      <c r="C19" s="72"/>
      <c r="D19" s="72"/>
      <c r="E19" s="94">
        <f>SUM('DRRM Funds July 2016'!E46)</f>
        <v>28350333.679100003</v>
      </c>
      <c r="F19" s="94">
        <f>SUM('DRRM Funds July 2016'!F46)</f>
        <v>27032135.8279</v>
      </c>
      <c r="G19" s="94">
        <f>SUM('DRRM Funds July 2016'!G46)</f>
        <v>0</v>
      </c>
      <c r="H19" s="94">
        <f>SUM('DRRM Funds July 2016'!H46)</f>
        <v>0</v>
      </c>
      <c r="I19" s="94">
        <f>SUM('DRRM Funds July 2016'!I46)</f>
        <v>0</v>
      </c>
      <c r="J19" s="94">
        <f>SUM('DRRM Funds July 2016'!J46)</f>
        <v>55382469.506999999</v>
      </c>
      <c r="K19" s="166">
        <f t="shared" si="1"/>
        <v>55382469.506999999</v>
      </c>
      <c r="L19" s="194">
        <v>0.05</v>
      </c>
      <c r="M19" s="269">
        <f>M18*0.05</f>
        <v>4040836.6854999992</v>
      </c>
    </row>
    <row r="20" spans="1:14" s="109" customFormat="1" ht="18" customHeight="1">
      <c r="A20" s="70" t="s">
        <v>101</v>
      </c>
      <c r="B20" s="122"/>
      <c r="C20" s="72"/>
      <c r="D20" s="72"/>
      <c r="E20" s="119">
        <f>SUM(E18:E19)</f>
        <v>29562584.684750002</v>
      </c>
      <c r="F20" s="119">
        <f t="shared" ref="F20:J20" si="2">SUM(F18:F19)</f>
        <v>29860721.507750001</v>
      </c>
      <c r="G20" s="119">
        <f t="shared" si="2"/>
        <v>0</v>
      </c>
      <c r="H20" s="119">
        <f t="shared" si="2"/>
        <v>0</v>
      </c>
      <c r="I20" s="119">
        <f t="shared" si="2"/>
        <v>0</v>
      </c>
      <c r="J20" s="119">
        <f t="shared" si="2"/>
        <v>59423306.192499995</v>
      </c>
      <c r="K20" s="166">
        <f t="shared" si="1"/>
        <v>59423306.192500003</v>
      </c>
    </row>
    <row r="21" spans="1:14" ht="18" customHeight="1">
      <c r="A21" s="70" t="s">
        <v>15</v>
      </c>
      <c r="B21" s="72"/>
      <c r="C21" s="72"/>
      <c r="D21" s="72"/>
      <c r="E21" s="94"/>
      <c r="F21" s="94"/>
      <c r="G21" s="94"/>
      <c r="H21" s="94"/>
      <c r="I21" s="94"/>
      <c r="J21" s="114"/>
      <c r="K21" s="166">
        <f t="shared" si="1"/>
        <v>0</v>
      </c>
      <c r="M21" s="109">
        <v>26972032.48</v>
      </c>
    </row>
    <row r="22" spans="1:14" ht="18" customHeight="1">
      <c r="A22" s="77" t="s">
        <v>206</v>
      </c>
      <c r="B22" s="263"/>
      <c r="C22" s="263"/>
      <c r="D22" s="263"/>
      <c r="E22" s="94"/>
      <c r="F22" s="94"/>
      <c r="G22" s="94"/>
      <c r="H22" s="94"/>
      <c r="I22" s="94"/>
      <c r="J22" s="114">
        <f>SUM(E22:I22)</f>
        <v>0</v>
      </c>
      <c r="K22" s="166"/>
    </row>
    <row r="23" spans="1:14" ht="18" customHeight="1">
      <c r="A23" s="77" t="s">
        <v>251</v>
      </c>
      <c r="B23" s="263"/>
      <c r="C23" s="263"/>
      <c r="D23" s="263"/>
      <c r="E23" s="94"/>
      <c r="F23" s="94"/>
      <c r="G23" s="94"/>
      <c r="H23" s="94"/>
      <c r="I23" s="94"/>
      <c r="J23" s="114">
        <f t="shared" ref="J23:J42" si="3">SUM(E23:I23)</f>
        <v>0</v>
      </c>
      <c r="K23" s="166">
        <f t="shared" si="1"/>
        <v>0</v>
      </c>
      <c r="L23" s="176">
        <f>518731460.56*0.05</f>
        <v>25936573.028000001</v>
      </c>
      <c r="M23" s="109">
        <v>125607.13</v>
      </c>
    </row>
    <row r="24" spans="1:14" ht="18" customHeight="1">
      <c r="A24" s="290" t="s">
        <v>229</v>
      </c>
      <c r="B24" s="291"/>
      <c r="C24" s="291"/>
      <c r="D24" s="291"/>
      <c r="E24" s="292"/>
      <c r="F24" s="292">
        <v>7042.2</v>
      </c>
      <c r="G24" s="292"/>
      <c r="H24" s="292"/>
      <c r="I24" s="292"/>
      <c r="J24" s="114">
        <f t="shared" si="3"/>
        <v>7042.2</v>
      </c>
      <c r="K24" s="166"/>
      <c r="L24" s="228"/>
    </row>
    <row r="25" spans="1:14" ht="18" customHeight="1">
      <c r="A25" s="290" t="s">
        <v>252</v>
      </c>
      <c r="B25" s="291"/>
      <c r="C25" s="291"/>
      <c r="D25" s="291"/>
      <c r="E25" s="292"/>
      <c r="F25" s="292">
        <v>113165.3</v>
      </c>
      <c r="G25" s="292"/>
      <c r="H25" s="292"/>
      <c r="I25" s="292"/>
      <c r="J25" s="114">
        <f t="shared" si="3"/>
        <v>113165.3</v>
      </c>
      <c r="K25" s="166">
        <f t="shared" si="1"/>
        <v>113165.3</v>
      </c>
      <c r="M25" s="232" t="s">
        <v>236</v>
      </c>
    </row>
    <row r="26" spans="1:14" ht="18" customHeight="1">
      <c r="A26" s="290" t="s">
        <v>276</v>
      </c>
      <c r="B26" s="291"/>
      <c r="C26" s="291"/>
      <c r="D26" s="291"/>
      <c r="E26" s="292"/>
      <c r="F26" s="292">
        <v>623245.21</v>
      </c>
      <c r="G26" s="292"/>
      <c r="H26" s="292"/>
      <c r="I26" s="292"/>
      <c r="J26" s="114">
        <f t="shared" si="3"/>
        <v>623245.21</v>
      </c>
      <c r="K26" s="166">
        <f t="shared" si="1"/>
        <v>623245.21</v>
      </c>
      <c r="M26" s="229">
        <v>275607.13</v>
      </c>
      <c r="N26" s="46" t="s">
        <v>230</v>
      </c>
    </row>
    <row r="27" spans="1:14" ht="18" customHeight="1">
      <c r="A27" s="293" t="s">
        <v>275</v>
      </c>
      <c r="B27" s="291"/>
      <c r="C27" s="291"/>
      <c r="D27" s="291"/>
      <c r="E27" s="292"/>
      <c r="F27" s="292"/>
      <c r="G27" s="292"/>
      <c r="H27" s="292"/>
      <c r="I27" s="292"/>
      <c r="J27" s="114">
        <f t="shared" si="3"/>
        <v>0</v>
      </c>
      <c r="K27" s="166">
        <f t="shared" si="1"/>
        <v>0</v>
      </c>
      <c r="M27" s="229">
        <v>695000</v>
      </c>
      <c r="N27" s="46" t="s">
        <v>232</v>
      </c>
    </row>
    <row r="28" spans="1:14" ht="18" customHeight="1">
      <c r="A28" s="290" t="s">
        <v>274</v>
      </c>
      <c r="B28" s="291"/>
      <c r="C28" s="291"/>
      <c r="D28" s="291"/>
      <c r="E28" s="292"/>
      <c r="F28" s="292"/>
      <c r="G28" s="292"/>
      <c r="H28" s="292"/>
      <c r="I28" s="292"/>
      <c r="J28" s="114">
        <f t="shared" si="3"/>
        <v>0</v>
      </c>
      <c r="K28" s="166">
        <f t="shared" si="1"/>
        <v>0</v>
      </c>
      <c r="M28" s="229">
        <v>1470000</v>
      </c>
      <c r="N28" s="46" t="s">
        <v>233</v>
      </c>
    </row>
    <row r="29" spans="1:14" ht="18" customHeight="1">
      <c r="A29" s="290" t="s">
        <v>227</v>
      </c>
      <c r="B29" s="291"/>
      <c r="C29" s="291"/>
      <c r="D29" s="291"/>
      <c r="E29" s="292"/>
      <c r="F29" s="292"/>
      <c r="G29" s="292"/>
      <c r="H29" s="292"/>
      <c r="I29" s="292"/>
      <c r="J29" s="114">
        <f t="shared" si="3"/>
        <v>0</v>
      </c>
      <c r="K29" s="166">
        <f t="shared" si="1"/>
        <v>0</v>
      </c>
      <c r="L29" s="318"/>
      <c r="M29" s="229">
        <v>3071228.76</v>
      </c>
      <c r="N29" s="46" t="s">
        <v>231</v>
      </c>
    </row>
    <row r="30" spans="1:14" ht="18" customHeight="1">
      <c r="A30" s="290" t="s">
        <v>273</v>
      </c>
      <c r="B30" s="291"/>
      <c r="C30" s="291"/>
      <c r="D30" s="291"/>
      <c r="E30" s="292"/>
      <c r="F30" s="292"/>
      <c r="G30" s="292"/>
      <c r="H30" s="292"/>
      <c r="I30" s="292"/>
      <c r="J30" s="114">
        <f t="shared" si="3"/>
        <v>0</v>
      </c>
      <c r="K30" s="166"/>
      <c r="L30" s="318"/>
      <c r="M30" s="229">
        <v>5009130</v>
      </c>
      <c r="N30" s="46" t="s">
        <v>234</v>
      </c>
    </row>
    <row r="31" spans="1:14" ht="18" customHeight="1">
      <c r="A31" s="290" t="s">
        <v>213</v>
      </c>
      <c r="B31" s="291"/>
      <c r="C31" s="291"/>
      <c r="D31" s="291"/>
      <c r="E31" s="292"/>
      <c r="F31" s="292"/>
      <c r="G31" s="292"/>
      <c r="H31" s="292"/>
      <c r="I31" s="292"/>
      <c r="J31" s="114">
        <f t="shared" si="3"/>
        <v>0</v>
      </c>
      <c r="K31" s="166"/>
      <c r="L31" s="318"/>
      <c r="M31" s="230">
        <v>1900100</v>
      </c>
      <c r="N31" s="46" t="s">
        <v>235</v>
      </c>
    </row>
    <row r="32" spans="1:14" ht="18" customHeight="1">
      <c r="A32" s="290" t="s">
        <v>250</v>
      </c>
      <c r="B32" s="291"/>
      <c r="C32" s="291"/>
      <c r="D32" s="291"/>
      <c r="E32" s="292"/>
      <c r="F32" s="292"/>
      <c r="G32" s="292"/>
      <c r="H32" s="292"/>
      <c r="I32" s="292"/>
      <c r="J32" s="114">
        <f t="shared" si="3"/>
        <v>0</v>
      </c>
      <c r="K32" s="166"/>
      <c r="L32" s="318"/>
      <c r="M32" s="289">
        <f>SUM(M26:M31)</f>
        <v>12421065.890000001</v>
      </c>
    </row>
    <row r="33" spans="1:13" ht="18" customHeight="1">
      <c r="A33" s="290" t="s">
        <v>214</v>
      </c>
      <c r="B33" s="291"/>
      <c r="C33" s="291"/>
      <c r="D33" s="291"/>
      <c r="E33" s="292"/>
      <c r="F33" s="292"/>
      <c r="G33" s="292"/>
      <c r="H33" s="292"/>
      <c r="I33" s="292"/>
      <c r="J33" s="114">
        <f t="shared" si="3"/>
        <v>0</v>
      </c>
      <c r="K33" s="227"/>
      <c r="L33" s="318"/>
    </row>
    <row r="34" spans="1:13" ht="18" customHeight="1">
      <c r="A34" s="290" t="s">
        <v>249</v>
      </c>
      <c r="B34" s="291"/>
      <c r="C34" s="291"/>
      <c r="D34" s="291"/>
      <c r="E34" s="292"/>
      <c r="F34" s="292"/>
      <c r="G34" s="292"/>
      <c r="H34" s="292"/>
      <c r="I34" s="292"/>
      <c r="J34" s="114">
        <f t="shared" si="3"/>
        <v>0</v>
      </c>
      <c r="K34" s="265"/>
      <c r="L34" s="318"/>
    </row>
    <row r="35" spans="1:13" ht="18" customHeight="1">
      <c r="A35" s="290" t="s">
        <v>222</v>
      </c>
      <c r="B35" s="291"/>
      <c r="C35" s="291"/>
      <c r="D35" s="291"/>
      <c r="E35" s="292"/>
      <c r="F35" s="292"/>
      <c r="G35" s="292"/>
      <c r="H35" s="292"/>
      <c r="I35" s="292"/>
      <c r="J35" s="114">
        <f t="shared" si="3"/>
        <v>0</v>
      </c>
      <c r="K35" s="266">
        <f t="shared" si="1"/>
        <v>0</v>
      </c>
      <c r="L35" s="109">
        <f>SUM(F29:F35)</f>
        <v>0</v>
      </c>
    </row>
    <row r="36" spans="1:13" ht="18" customHeight="1">
      <c r="A36" s="290" t="s">
        <v>223</v>
      </c>
      <c r="B36" s="291"/>
      <c r="C36" s="291"/>
      <c r="D36" s="291"/>
      <c r="E36" s="292"/>
      <c r="F36" s="292"/>
      <c r="G36" s="292"/>
      <c r="H36" s="292"/>
      <c r="I36" s="292"/>
      <c r="J36" s="114">
        <f t="shared" si="3"/>
        <v>0</v>
      </c>
      <c r="K36" s="166">
        <f t="shared" si="1"/>
        <v>0</v>
      </c>
      <c r="L36" s="109">
        <v>147060</v>
      </c>
    </row>
    <row r="37" spans="1:13" ht="18" customHeight="1">
      <c r="A37" s="290" t="s">
        <v>168</v>
      </c>
      <c r="B37" s="291"/>
      <c r="C37" s="291"/>
      <c r="D37" s="291"/>
      <c r="E37" s="292"/>
      <c r="F37" s="292"/>
      <c r="G37" s="292"/>
      <c r="H37" s="292"/>
      <c r="I37" s="292"/>
      <c r="J37" s="114">
        <f t="shared" si="3"/>
        <v>0</v>
      </c>
      <c r="K37" s="166">
        <f t="shared" si="1"/>
        <v>0</v>
      </c>
    </row>
    <row r="38" spans="1:13" ht="18" customHeight="1">
      <c r="A38" s="290" t="s">
        <v>293</v>
      </c>
      <c r="B38" s="291"/>
      <c r="C38" s="291"/>
      <c r="D38" s="291"/>
      <c r="E38" s="292"/>
      <c r="F38" s="292"/>
      <c r="G38" s="292"/>
      <c r="H38" s="292"/>
      <c r="I38" s="292"/>
      <c r="J38" s="114">
        <f t="shared" si="3"/>
        <v>0</v>
      </c>
      <c r="K38" s="166">
        <f t="shared" si="1"/>
        <v>0</v>
      </c>
      <c r="L38" s="109">
        <v>1555500</v>
      </c>
    </row>
    <row r="39" spans="1:13" ht="18" customHeight="1">
      <c r="A39" s="290" t="s">
        <v>207</v>
      </c>
      <c r="B39" s="291"/>
      <c r="C39" s="291"/>
      <c r="D39" s="291"/>
      <c r="E39" s="292"/>
      <c r="F39" s="292"/>
      <c r="G39" s="292"/>
      <c r="H39" s="292"/>
      <c r="I39" s="292"/>
      <c r="J39" s="114">
        <f t="shared" si="3"/>
        <v>0</v>
      </c>
      <c r="K39" s="166"/>
    </row>
    <row r="40" spans="1:13" ht="18" customHeight="1">
      <c r="A40" s="83" t="s">
        <v>94</v>
      </c>
      <c r="B40" s="263"/>
      <c r="C40" s="263"/>
      <c r="D40" s="263"/>
      <c r="E40" s="94"/>
      <c r="F40" s="94"/>
      <c r="G40" s="94"/>
      <c r="H40" s="94"/>
      <c r="I40" s="94"/>
      <c r="J40" s="114">
        <f t="shared" si="3"/>
        <v>0</v>
      </c>
      <c r="K40" s="166">
        <f t="shared" si="1"/>
        <v>0</v>
      </c>
      <c r="L40" s="109">
        <v>177000</v>
      </c>
    </row>
    <row r="41" spans="1:13" ht="18" customHeight="1">
      <c r="A41" s="83" t="s">
        <v>95</v>
      </c>
      <c r="B41" s="263"/>
      <c r="C41" s="263"/>
      <c r="D41" s="263"/>
      <c r="E41" s="94"/>
      <c r="F41" s="94"/>
      <c r="G41" s="94"/>
      <c r="H41" s="94"/>
      <c r="I41" s="94"/>
      <c r="J41" s="114">
        <f t="shared" si="3"/>
        <v>0</v>
      </c>
      <c r="K41" s="166">
        <f t="shared" si="1"/>
        <v>0</v>
      </c>
      <c r="L41" s="109">
        <v>204055</v>
      </c>
    </row>
    <row r="42" spans="1:13" ht="18" customHeight="1">
      <c r="A42" s="77" t="s">
        <v>96</v>
      </c>
      <c r="B42" s="263"/>
      <c r="C42" s="263"/>
      <c r="D42" s="263"/>
      <c r="E42" s="94"/>
      <c r="F42" s="102"/>
      <c r="G42" s="94"/>
      <c r="H42" s="94"/>
      <c r="I42" s="94"/>
      <c r="J42" s="114">
        <f t="shared" si="3"/>
        <v>0</v>
      </c>
      <c r="K42" s="166">
        <f t="shared" si="1"/>
        <v>0</v>
      </c>
      <c r="L42" s="109">
        <v>71070</v>
      </c>
    </row>
    <row r="43" spans="1:13" ht="18" customHeight="1">
      <c r="A43" s="84" t="s">
        <v>92</v>
      </c>
      <c r="B43" s="63"/>
      <c r="C43" s="63"/>
      <c r="D43" s="63"/>
      <c r="E43" s="89">
        <f>SUM(E22:E42)</f>
        <v>0</v>
      </c>
      <c r="F43" s="303">
        <f t="shared" ref="F43:J43" si="4">SUM(F22:F42)</f>
        <v>743452.71</v>
      </c>
      <c r="G43" s="304">
        <f>SUM(G22:G42)</f>
        <v>0</v>
      </c>
      <c r="H43" s="94">
        <f t="shared" si="4"/>
        <v>0</v>
      </c>
      <c r="I43" s="94">
        <f t="shared" si="4"/>
        <v>0</v>
      </c>
      <c r="J43" s="292">
        <f t="shared" si="4"/>
        <v>743452.71</v>
      </c>
      <c r="K43" s="166">
        <f t="shared" si="1"/>
        <v>743452.71</v>
      </c>
      <c r="L43" s="109">
        <v>27800</v>
      </c>
      <c r="M43" s="46"/>
    </row>
    <row r="44" spans="1:13" ht="18" customHeight="1">
      <c r="A44" s="84" t="s">
        <v>103</v>
      </c>
      <c r="B44" s="63"/>
      <c r="C44" s="63"/>
      <c r="D44" s="63"/>
      <c r="E44" s="103">
        <f>SUM('DRRM Funds July 2016'!E45)</f>
        <v>0</v>
      </c>
      <c r="F44" s="103">
        <f>SUM('DRRM Funds July 2016'!F45)</f>
        <v>8591022.4100000001</v>
      </c>
      <c r="G44" s="103">
        <f>SUM('DRRM Funds July 2016'!G45)</f>
        <v>0</v>
      </c>
      <c r="H44" s="103">
        <f>SUM('DRRM Funds July 2016'!H45)</f>
        <v>0</v>
      </c>
      <c r="I44" s="103">
        <f>SUM('DRRM Funds July 2016'!I45)</f>
        <v>0</v>
      </c>
      <c r="J44" s="103">
        <f>SUM('DRRM Funds July 2016'!J45)</f>
        <v>8591022.4100000001</v>
      </c>
      <c r="K44" s="166">
        <f t="shared" si="1"/>
        <v>8591022.4100000001</v>
      </c>
      <c r="L44" s="109">
        <v>126865</v>
      </c>
      <c r="M44" s="109">
        <f>SUM(E44:H44)</f>
        <v>8591022.4100000001</v>
      </c>
    </row>
    <row r="45" spans="1:13" ht="18" customHeight="1">
      <c r="A45" s="84" t="s">
        <v>104</v>
      </c>
      <c r="B45" s="63"/>
      <c r="C45" s="63"/>
      <c r="D45" s="63"/>
      <c r="E45" s="103">
        <f>SUM(E43:E44)</f>
        <v>0</v>
      </c>
      <c r="F45" s="103">
        <f t="shared" ref="F45:J45" si="5">SUM(F43:F44)</f>
        <v>9334475.120000001</v>
      </c>
      <c r="G45" s="103">
        <f t="shared" si="5"/>
        <v>0</v>
      </c>
      <c r="H45" s="103">
        <f t="shared" si="5"/>
        <v>0</v>
      </c>
      <c r="I45" s="103">
        <f t="shared" si="5"/>
        <v>0</v>
      </c>
      <c r="J45" s="103">
        <f t="shared" si="5"/>
        <v>9334475.120000001</v>
      </c>
      <c r="K45" s="166">
        <f t="shared" si="1"/>
        <v>9334475.120000001</v>
      </c>
      <c r="L45" s="174">
        <f>SUM(L35:L44)</f>
        <v>2309350</v>
      </c>
      <c r="M45" s="109">
        <v>10492358.970000001</v>
      </c>
    </row>
    <row r="46" spans="1:13" ht="18" customHeight="1">
      <c r="A46" s="70" t="s">
        <v>93</v>
      </c>
      <c r="B46" s="72"/>
      <c r="C46" s="72"/>
      <c r="D46" s="80"/>
      <c r="E46" s="231">
        <f t="shared" ref="E46:J46" si="6">E20-E43</f>
        <v>29562584.684750002</v>
      </c>
      <c r="F46" s="231">
        <f t="shared" si="6"/>
        <v>29117268.79775</v>
      </c>
      <c r="G46" s="231">
        <f>G20-G43</f>
        <v>0</v>
      </c>
      <c r="H46" s="231">
        <f t="shared" si="6"/>
        <v>0</v>
      </c>
      <c r="I46" s="231">
        <f t="shared" si="6"/>
        <v>0</v>
      </c>
      <c r="J46" s="231">
        <f t="shared" si="6"/>
        <v>58679853.482499994</v>
      </c>
      <c r="K46" s="166">
        <f>SUM(E46:I46)</f>
        <v>58679853.482500002</v>
      </c>
      <c r="L46" s="46"/>
      <c r="M46" s="109">
        <f>M45-L45</f>
        <v>8183008.9700000007</v>
      </c>
    </row>
    <row r="47" spans="1:13" ht="18" customHeight="1">
      <c r="A47" s="55"/>
      <c r="B47" s="55"/>
      <c r="C47" s="55"/>
      <c r="D47" s="55"/>
      <c r="E47" s="55"/>
      <c r="F47" s="55"/>
      <c r="G47" s="55"/>
      <c r="H47" s="55"/>
      <c r="I47" s="55"/>
      <c r="J47" s="115" t="s">
        <v>74</v>
      </c>
      <c r="K47" s="92">
        <f>SUM(E46:F46)</f>
        <v>58679853.482500002</v>
      </c>
      <c r="M47" s="109">
        <v>0</v>
      </c>
    </row>
    <row r="48" spans="1:13">
      <c r="A48" s="55" t="s">
        <v>83</v>
      </c>
      <c r="B48" s="55"/>
      <c r="C48" s="55"/>
      <c r="D48" s="55"/>
      <c r="E48" s="55"/>
      <c r="F48" s="55"/>
      <c r="G48" s="55"/>
      <c r="H48" s="55" t="s">
        <v>29</v>
      </c>
      <c r="I48" s="55"/>
      <c r="J48" s="115"/>
      <c r="K48" s="55"/>
      <c r="L48" s="109">
        <v>752760</v>
      </c>
    </row>
    <row r="49" spans="1:13">
      <c r="A49" s="55"/>
      <c r="B49" s="55"/>
      <c r="C49" s="55"/>
      <c r="D49" s="55"/>
      <c r="E49" s="55"/>
      <c r="F49" s="55"/>
      <c r="G49" s="55"/>
      <c r="H49" s="55"/>
      <c r="I49" s="55"/>
      <c r="J49" s="115"/>
      <c r="K49" s="55"/>
      <c r="L49" s="109">
        <v>902075</v>
      </c>
    </row>
    <row r="50" spans="1:13">
      <c r="A50" s="82" t="s">
        <v>202</v>
      </c>
      <c r="B50" s="55"/>
      <c r="C50" s="55"/>
      <c r="D50" s="55"/>
      <c r="E50" s="55"/>
      <c r="F50" s="55"/>
      <c r="G50" s="55"/>
      <c r="H50" s="241" t="s">
        <v>72</v>
      </c>
      <c r="I50" s="55"/>
      <c r="J50" s="115"/>
      <c r="K50" s="55"/>
      <c r="L50" s="109">
        <v>504234.65</v>
      </c>
      <c r="M50" s="109">
        <v>8736531.7100000009</v>
      </c>
    </row>
    <row r="51" spans="1:13">
      <c r="A51" s="140" t="s">
        <v>287</v>
      </c>
      <c r="B51" s="55"/>
      <c r="C51" s="55"/>
      <c r="D51" s="55"/>
      <c r="E51" s="55"/>
      <c r="F51" s="55"/>
      <c r="G51" s="55"/>
      <c r="H51" s="140" t="s">
        <v>85</v>
      </c>
      <c r="I51" s="55"/>
      <c r="J51" s="115"/>
      <c r="K51" s="55"/>
      <c r="L51" s="109">
        <v>899145</v>
      </c>
      <c r="M51" s="109">
        <v>10140</v>
      </c>
    </row>
    <row r="52" spans="1:13">
      <c r="A52" s="55"/>
      <c r="B52" s="55"/>
      <c r="C52" s="55"/>
      <c r="D52" s="55"/>
      <c r="E52" s="121" t="s">
        <v>237</v>
      </c>
      <c r="F52" s="55"/>
      <c r="G52" s="55"/>
      <c r="H52" s="55"/>
      <c r="I52" s="55"/>
      <c r="J52" s="115"/>
      <c r="K52" s="55"/>
      <c r="L52" s="109">
        <v>1087927.3999999999</v>
      </c>
      <c r="M52" s="109">
        <f>SUM(M50:M51)</f>
        <v>8746671.7100000009</v>
      </c>
    </row>
    <row r="53" spans="1:13">
      <c r="A53" s="55"/>
      <c r="B53" s="55"/>
      <c r="C53" s="55"/>
      <c r="D53" s="55"/>
      <c r="E53" s="115"/>
      <c r="F53" s="55"/>
      <c r="G53" s="55"/>
      <c r="H53" s="55"/>
      <c r="I53" s="115"/>
      <c r="J53" s="115"/>
      <c r="K53" s="55"/>
      <c r="L53" s="109">
        <v>2896515.5</v>
      </c>
    </row>
    <row r="54" spans="1:13">
      <c r="A54" s="55"/>
      <c r="B54" s="55"/>
      <c r="C54" s="55"/>
      <c r="D54" s="55"/>
      <c r="E54" s="82" t="s">
        <v>298</v>
      </c>
      <c r="F54" s="55"/>
      <c r="G54" s="55"/>
      <c r="H54" s="55"/>
      <c r="I54" s="115"/>
      <c r="J54" s="115"/>
      <c r="K54" s="55"/>
    </row>
    <row r="55" spans="1:13">
      <c r="A55" s="55"/>
      <c r="B55" s="55"/>
      <c r="C55" s="55"/>
      <c r="D55" s="55"/>
      <c r="E55" s="55" t="s">
        <v>299</v>
      </c>
      <c r="F55" s="55"/>
      <c r="G55" s="55"/>
      <c r="H55" s="55"/>
      <c r="I55" s="115"/>
      <c r="J55" s="115"/>
      <c r="K55" s="55"/>
      <c r="L55" s="109">
        <v>120000</v>
      </c>
    </row>
    <row r="56" spans="1:13">
      <c r="I56" s="109"/>
      <c r="M56" s="46"/>
    </row>
    <row r="57" spans="1:13">
      <c r="F57" s="121"/>
      <c r="I57" s="109"/>
      <c r="K57" s="55"/>
      <c r="L57" s="115">
        <v>630000</v>
      </c>
      <c r="M57" s="183">
        <v>10644424.82</v>
      </c>
    </row>
    <row r="58" spans="1:13">
      <c r="B58" s="276" t="s">
        <v>236</v>
      </c>
      <c r="F58" s="115"/>
      <c r="I58" s="109"/>
      <c r="J58" s="109">
        <v>7850000</v>
      </c>
      <c r="L58" s="109">
        <v>1000000</v>
      </c>
      <c r="M58" s="183">
        <v>13157941.960000001</v>
      </c>
    </row>
    <row r="59" spans="1:13">
      <c r="I59" s="109"/>
      <c r="J59" s="109">
        <v>800000</v>
      </c>
      <c r="L59" s="109">
        <v>1300000</v>
      </c>
      <c r="M59" s="184">
        <v>0</v>
      </c>
    </row>
    <row r="60" spans="1:13">
      <c r="A60" s="46" t="s">
        <v>282</v>
      </c>
      <c r="B60" s="392">
        <f>1493800+99900</f>
        <v>1593700</v>
      </c>
      <c r="C60" s="392"/>
      <c r="I60" s="109"/>
      <c r="J60" s="109">
        <v>1200000</v>
      </c>
      <c r="L60" s="109">
        <v>2000000</v>
      </c>
      <c r="M60" s="183">
        <f>SUM(M57:M59)</f>
        <v>23802366.780000001</v>
      </c>
    </row>
    <row r="61" spans="1:13">
      <c r="A61" s="46" t="s">
        <v>281</v>
      </c>
      <c r="B61" s="392">
        <v>1400000</v>
      </c>
      <c r="C61" s="392"/>
      <c r="I61" s="109"/>
      <c r="J61" s="109">
        <v>3500000</v>
      </c>
      <c r="L61" s="109">
        <v>150000</v>
      </c>
      <c r="M61" s="183">
        <v>24092226.780000001</v>
      </c>
    </row>
    <row r="62" spans="1:13">
      <c r="A62" s="46" t="s">
        <v>258</v>
      </c>
      <c r="B62" s="393">
        <v>1975000</v>
      </c>
      <c r="C62" s="393"/>
      <c r="I62" s="109">
        <v>100000</v>
      </c>
      <c r="J62" s="116">
        <f>SUM(J58:J61)</f>
        <v>13350000</v>
      </c>
      <c r="L62" s="109">
        <v>4590281.96</v>
      </c>
      <c r="M62" s="183">
        <f>M61-M60</f>
        <v>289860</v>
      </c>
    </row>
    <row r="63" spans="1:13">
      <c r="A63" s="46" t="s">
        <v>283</v>
      </c>
      <c r="B63" s="387">
        <v>1214184.3500000001</v>
      </c>
      <c r="C63" s="387"/>
      <c r="I63" s="109">
        <v>4589687.1100000003</v>
      </c>
      <c r="J63" s="109">
        <v>16829861.079999998</v>
      </c>
      <c r="L63" s="109">
        <f>SUM(L57:L62)</f>
        <v>9670281.9600000009</v>
      </c>
      <c r="M63" s="46"/>
    </row>
    <row r="64" spans="1:13">
      <c r="B64" s="388">
        <f>SUM(B60:C63)</f>
        <v>6182884.3499999996</v>
      </c>
      <c r="C64" s="388"/>
      <c r="I64" s="116">
        <f>SUM(I58:I63)</f>
        <v>4689687.1100000003</v>
      </c>
      <c r="J64" s="109">
        <f>J62-J63</f>
        <v>-3479861.0799999982</v>
      </c>
      <c r="M64" s="109">
        <v>24416573.030000001</v>
      </c>
    </row>
    <row r="65" spans="1:13">
      <c r="I65" s="109">
        <v>7212797.6100000003</v>
      </c>
      <c r="M65" s="109">
        <v>24708913.030000001</v>
      </c>
    </row>
    <row r="66" spans="1:13">
      <c r="I66" s="109">
        <f>I64-I65</f>
        <v>-2523110.5</v>
      </c>
      <c r="M66" s="109">
        <f>M64-M65</f>
        <v>-292340</v>
      </c>
    </row>
    <row r="67" spans="1:13">
      <c r="I67" s="109"/>
      <c r="M67" s="109">
        <v>289860</v>
      </c>
    </row>
    <row r="68" spans="1:13">
      <c r="I68" s="109"/>
      <c r="J68" s="109">
        <v>25346381.800000001</v>
      </c>
      <c r="M68" s="173">
        <f>SUM(M66:M67)</f>
        <v>-2480</v>
      </c>
    </row>
    <row r="69" spans="1:13">
      <c r="I69" s="109"/>
      <c r="J69" s="109">
        <v>24042658.690000001</v>
      </c>
      <c r="M69" s="46"/>
    </row>
    <row r="70" spans="1:13">
      <c r="I70" s="109"/>
      <c r="J70" s="109">
        <f>J68-J69</f>
        <v>1303723.1099999994</v>
      </c>
      <c r="L70" s="109">
        <v>400000</v>
      </c>
      <c r="M70" s="46"/>
    </row>
    <row r="71" spans="1:13">
      <c r="I71" s="109"/>
      <c r="L71" s="109">
        <v>1000000</v>
      </c>
      <c r="M71" s="109">
        <v>25279.7</v>
      </c>
    </row>
    <row r="72" spans="1:13">
      <c r="I72" s="109"/>
      <c r="M72" s="109">
        <v>27759.7</v>
      </c>
    </row>
    <row r="73" spans="1:13">
      <c r="H73" s="109"/>
      <c r="I73" s="109"/>
      <c r="M73" s="173">
        <f>M71-M72</f>
        <v>-2480</v>
      </c>
    </row>
    <row r="74" spans="1:13">
      <c r="H74" s="109">
        <v>4455551.57</v>
      </c>
      <c r="I74" s="109"/>
      <c r="J74" s="109">
        <v>17496381.800000001</v>
      </c>
      <c r="M74" s="46"/>
    </row>
    <row r="75" spans="1:13">
      <c r="H75" s="109">
        <v>5760963.6399999997</v>
      </c>
      <c r="I75" s="109"/>
      <c r="J75" s="109">
        <v>7850000</v>
      </c>
      <c r="M75" s="46"/>
    </row>
    <row r="76" spans="1:13">
      <c r="H76" s="109">
        <f>SUM(H74:H75)</f>
        <v>10216515.210000001</v>
      </c>
      <c r="I76" s="109"/>
      <c r="J76" s="109">
        <f>SUM(J74:J75)</f>
        <v>25346381.800000001</v>
      </c>
      <c r="M76" s="46"/>
    </row>
    <row r="77" spans="1:13" s="109" customFormat="1">
      <c r="A77" s="46"/>
      <c r="B77" s="46"/>
      <c r="C77" s="46"/>
      <c r="D77" s="46"/>
      <c r="E77" s="46"/>
      <c r="F77" s="46"/>
      <c r="G77" s="46"/>
    </row>
    <row r="78" spans="1:13" s="109" customFormat="1">
      <c r="A78" s="46"/>
      <c r="B78" s="46"/>
      <c r="C78" s="46"/>
      <c r="D78" s="46"/>
      <c r="E78" s="46"/>
      <c r="F78" s="46"/>
      <c r="G78" s="46"/>
    </row>
    <row r="79" spans="1:13" s="109" customFormat="1">
      <c r="A79" s="46"/>
      <c r="B79" s="46"/>
      <c r="C79" s="46"/>
      <c r="D79" s="46"/>
      <c r="E79" s="46"/>
      <c r="F79" s="46"/>
      <c r="G79" s="46"/>
    </row>
    <row r="80" spans="1:13" s="109" customFormat="1">
      <c r="A80" s="46"/>
      <c r="B80" s="46"/>
      <c r="C80" s="46"/>
      <c r="D80" s="46"/>
      <c r="E80" s="46"/>
      <c r="F80" s="46"/>
      <c r="G80" s="46"/>
    </row>
    <row r="81" spans="1:11" s="109" customFormat="1">
      <c r="A81" s="46"/>
      <c r="B81" s="46"/>
      <c r="C81" s="46"/>
      <c r="D81" s="46"/>
      <c r="E81" s="46"/>
      <c r="F81" s="46"/>
      <c r="G81" s="46"/>
    </row>
    <row r="82" spans="1:11" s="109" customFormat="1">
      <c r="A82" s="46"/>
      <c r="B82" s="46"/>
      <c r="C82" s="46"/>
      <c r="D82" s="46"/>
      <c r="E82" s="46"/>
      <c r="F82" s="46"/>
      <c r="G82" s="46"/>
    </row>
    <row r="83" spans="1:11" s="109" customFormat="1">
      <c r="A83" s="46"/>
      <c r="B83" s="46"/>
      <c r="C83" s="46"/>
      <c r="D83" s="46"/>
      <c r="E83" s="46"/>
      <c r="F83" s="46"/>
      <c r="G83" s="46"/>
      <c r="H83" s="46"/>
    </row>
    <row r="84" spans="1:11" s="109" customFormat="1">
      <c r="A84" s="46"/>
      <c r="B84" s="46"/>
      <c r="C84" s="46"/>
      <c r="D84" s="46"/>
      <c r="E84" s="46"/>
      <c r="F84" s="46"/>
      <c r="G84" s="46"/>
      <c r="H84" s="46"/>
    </row>
    <row r="85" spans="1:11" s="109" customFormat="1">
      <c r="A85" s="46"/>
      <c r="B85" s="46"/>
      <c r="C85" s="46"/>
      <c r="D85" s="46"/>
      <c r="E85" s="46"/>
      <c r="F85" s="46"/>
      <c r="G85" s="46"/>
      <c r="H85" s="46"/>
    </row>
    <row r="86" spans="1:11" s="109" customFormat="1">
      <c r="A86" s="46"/>
      <c r="B86" s="46"/>
      <c r="C86" s="46"/>
      <c r="D86" s="46"/>
      <c r="E86" s="46"/>
      <c r="F86" s="46"/>
      <c r="G86" s="46"/>
      <c r="H86" s="46"/>
    </row>
    <row r="87" spans="1:11" s="109" customFormat="1">
      <c r="A87" s="46"/>
      <c r="B87" s="46"/>
      <c r="C87" s="46"/>
      <c r="D87" s="46"/>
      <c r="E87" s="46"/>
      <c r="F87" s="46"/>
      <c r="G87" s="46"/>
      <c r="H87" s="46"/>
      <c r="K87" s="46"/>
    </row>
    <row r="88" spans="1:11" s="109" customFormat="1">
      <c r="A88" s="46"/>
      <c r="B88" s="46"/>
      <c r="C88" s="46"/>
      <c r="D88" s="46"/>
      <c r="E88" s="46"/>
      <c r="F88" s="46"/>
      <c r="G88" s="46"/>
      <c r="H88" s="46"/>
      <c r="K88" s="46"/>
    </row>
    <row r="89" spans="1:11" s="109" customFormat="1">
      <c r="A89" s="46"/>
      <c r="B89" s="46"/>
      <c r="C89" s="46"/>
      <c r="D89" s="46"/>
      <c r="E89" s="46"/>
      <c r="F89" s="46"/>
      <c r="G89" s="46"/>
      <c r="H89" s="46"/>
      <c r="K89" s="46"/>
    </row>
    <row r="90" spans="1:11" s="109" customFormat="1">
      <c r="A90" s="46"/>
      <c r="B90" s="46"/>
      <c r="C90" s="46"/>
      <c r="D90" s="46"/>
      <c r="E90" s="46"/>
      <c r="F90" s="46"/>
      <c r="G90" s="46"/>
      <c r="H90" s="46"/>
      <c r="K90" s="46"/>
    </row>
    <row r="91" spans="1:11" s="109" customFormat="1">
      <c r="A91" s="46"/>
      <c r="B91" s="46"/>
      <c r="C91" s="46"/>
      <c r="D91" s="46"/>
      <c r="E91" s="46"/>
      <c r="F91" s="46"/>
      <c r="G91" s="46"/>
      <c r="H91" s="46"/>
      <c r="K91" s="46"/>
    </row>
    <row r="92" spans="1:11" s="109" customFormat="1">
      <c r="A92" s="46"/>
      <c r="B92" s="46"/>
      <c r="C92" s="46"/>
      <c r="D92" s="46"/>
      <c r="E92" s="46"/>
      <c r="F92" s="46"/>
      <c r="G92" s="46"/>
      <c r="H92" s="46"/>
      <c r="K92" s="46"/>
    </row>
    <row r="93" spans="1:11" s="109" customFormat="1">
      <c r="A93" s="46"/>
      <c r="B93" s="46"/>
      <c r="C93" s="46"/>
      <c r="D93" s="46"/>
      <c r="E93" s="46"/>
      <c r="F93" s="46"/>
      <c r="G93" s="46"/>
      <c r="H93" s="46"/>
      <c r="K93" s="46"/>
    </row>
    <row r="94" spans="1:11" s="109" customFormat="1">
      <c r="A94" s="46"/>
      <c r="B94" s="46"/>
      <c r="C94" s="46"/>
      <c r="D94" s="46"/>
      <c r="E94" s="46"/>
      <c r="F94" s="46"/>
      <c r="G94" s="46"/>
      <c r="H94" s="46"/>
      <c r="K94" s="46"/>
    </row>
    <row r="95" spans="1:11" s="109" customFormat="1">
      <c r="A95" s="46"/>
      <c r="B95" s="46"/>
      <c r="C95" s="46"/>
      <c r="D95" s="46"/>
      <c r="E95" s="46"/>
      <c r="F95" s="46"/>
      <c r="G95" s="46"/>
      <c r="H95" s="46"/>
      <c r="K95" s="46"/>
    </row>
    <row r="96" spans="1:11" s="109" customFormat="1">
      <c r="A96" s="46"/>
      <c r="B96" s="46"/>
      <c r="C96" s="46"/>
      <c r="D96" s="46"/>
      <c r="E96" s="46"/>
      <c r="F96" s="46"/>
      <c r="G96" s="46"/>
      <c r="H96" s="46"/>
      <c r="K96" s="46"/>
    </row>
    <row r="97" spans="1:11" s="109" customFormat="1">
      <c r="A97" s="46"/>
      <c r="B97" s="46"/>
      <c r="C97" s="46"/>
      <c r="D97" s="46"/>
      <c r="E97" s="46"/>
      <c r="F97" s="46"/>
      <c r="G97" s="46"/>
      <c r="H97" s="46"/>
      <c r="K97" s="46"/>
    </row>
    <row r="98" spans="1:11" s="109" customFormat="1">
      <c r="A98" s="46"/>
      <c r="B98" s="46"/>
      <c r="C98" s="46"/>
      <c r="D98" s="46"/>
      <c r="E98" s="46"/>
      <c r="F98" s="46"/>
      <c r="G98" s="46"/>
      <c r="H98" s="46"/>
      <c r="K98" s="46"/>
    </row>
    <row r="99" spans="1:11" s="109" customFormat="1">
      <c r="A99" s="46"/>
      <c r="B99" s="46"/>
      <c r="C99" s="46"/>
      <c r="D99" s="46"/>
      <c r="E99" s="46"/>
      <c r="F99" s="46"/>
      <c r="G99" s="46"/>
      <c r="H99" s="46"/>
      <c r="K99" s="46"/>
    </row>
  </sheetData>
  <mergeCells count="8">
    <mergeCell ref="B63:C63"/>
    <mergeCell ref="B64:C64"/>
    <mergeCell ref="A2:J2"/>
    <mergeCell ref="A3:J3"/>
    <mergeCell ref="A4:J4"/>
    <mergeCell ref="B60:C60"/>
    <mergeCell ref="B61:C61"/>
    <mergeCell ref="B62:C62"/>
  </mergeCells>
  <printOptions horizontalCentered="1"/>
  <pageMargins left="0.02" right="0.15" top="0.39" bottom="0.1" header="0.21" footer="0.1"/>
  <pageSetup scale="84" orientation="portrait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N99"/>
  <sheetViews>
    <sheetView topLeftCell="A31" workbookViewId="0">
      <selection activeCell="J46" sqref="J46"/>
    </sheetView>
  </sheetViews>
  <sheetFormatPr defaultRowHeight="12.75"/>
  <cols>
    <col min="1" max="1" width="6" style="46" customWidth="1"/>
    <col min="2" max="3" width="9.140625" style="46"/>
    <col min="4" max="4" width="16.5703125" style="46" customWidth="1"/>
    <col min="5" max="6" width="13.85546875" style="46" customWidth="1"/>
    <col min="7" max="7" width="10" style="46" customWidth="1"/>
    <col min="8" max="8" width="11.5703125" style="46" customWidth="1"/>
    <col min="9" max="9" width="11.42578125" style="46" customWidth="1"/>
    <col min="10" max="10" width="13.28515625" style="109" customWidth="1"/>
    <col min="11" max="11" width="15.7109375" style="46" customWidth="1"/>
    <col min="12" max="12" width="16.85546875" style="109" customWidth="1"/>
    <col min="13" max="13" width="17" style="109" customWidth="1"/>
    <col min="14" max="14" width="17" style="46" customWidth="1"/>
    <col min="15" max="16384" width="9.140625" style="46"/>
  </cols>
  <sheetData>
    <row r="1" spans="1:13">
      <c r="A1" s="47"/>
      <c r="B1" s="48"/>
      <c r="C1" s="48"/>
      <c r="D1" s="48"/>
      <c r="E1" s="48"/>
      <c r="F1" s="48"/>
      <c r="G1" s="48"/>
      <c r="H1" s="48"/>
      <c r="I1" s="48"/>
      <c r="J1" s="169" t="s">
        <v>81</v>
      </c>
    </row>
    <row r="2" spans="1:13">
      <c r="A2" s="389" t="s">
        <v>80</v>
      </c>
      <c r="B2" s="390"/>
      <c r="C2" s="390"/>
      <c r="D2" s="390"/>
      <c r="E2" s="390"/>
      <c r="F2" s="390"/>
      <c r="G2" s="390"/>
      <c r="H2" s="390"/>
      <c r="I2" s="390"/>
      <c r="J2" s="391"/>
    </row>
    <row r="3" spans="1:13">
      <c r="A3" s="389" t="s">
        <v>300</v>
      </c>
      <c r="B3" s="390"/>
      <c r="C3" s="390"/>
      <c r="D3" s="390"/>
      <c r="E3" s="390"/>
      <c r="F3" s="390"/>
      <c r="G3" s="390"/>
      <c r="H3" s="390"/>
      <c r="I3" s="390"/>
      <c r="J3" s="391"/>
    </row>
    <row r="4" spans="1:13">
      <c r="A4" s="389"/>
      <c r="B4" s="390"/>
      <c r="C4" s="390"/>
      <c r="D4" s="390"/>
      <c r="E4" s="390"/>
      <c r="F4" s="390"/>
      <c r="G4" s="390"/>
      <c r="H4" s="390"/>
      <c r="I4" s="390"/>
      <c r="J4" s="391"/>
    </row>
    <row r="5" spans="1:13">
      <c r="A5" s="54" t="s">
        <v>77</v>
      </c>
      <c r="B5" s="314"/>
      <c r="C5" s="314"/>
      <c r="D5" s="314"/>
      <c r="E5" s="314"/>
      <c r="F5" s="314"/>
      <c r="G5" s="314"/>
      <c r="H5" s="314"/>
      <c r="I5" s="314"/>
      <c r="J5" s="170"/>
    </row>
    <row r="6" spans="1:13">
      <c r="A6" s="54" t="s">
        <v>76</v>
      </c>
      <c r="B6" s="55"/>
      <c r="C6" s="55"/>
      <c r="D6" s="55"/>
      <c r="E6" s="55"/>
      <c r="F6" s="55"/>
      <c r="G6" s="55"/>
      <c r="H6" s="55" t="s">
        <v>278</v>
      </c>
      <c r="I6" s="55"/>
      <c r="J6" s="171"/>
      <c r="K6" s="46" t="s">
        <v>210</v>
      </c>
    </row>
    <row r="7" spans="1:13">
      <c r="A7" s="47"/>
      <c r="B7" s="48"/>
      <c r="C7" s="48"/>
      <c r="D7" s="49"/>
      <c r="E7" s="88" t="s">
        <v>8</v>
      </c>
      <c r="F7" s="50"/>
      <c r="G7" s="52"/>
      <c r="H7" s="52"/>
      <c r="I7" s="53"/>
      <c r="J7" s="110"/>
    </row>
    <row r="8" spans="1:13">
      <c r="A8" s="54"/>
      <c r="B8" s="55"/>
      <c r="C8" s="55"/>
      <c r="D8" s="56"/>
      <c r="E8" s="313" t="s">
        <v>9</v>
      </c>
      <c r="F8" s="53"/>
      <c r="G8" s="59"/>
      <c r="H8" s="59"/>
      <c r="I8" s="58"/>
      <c r="J8" s="111"/>
    </row>
    <row r="9" spans="1:13">
      <c r="A9" s="61" t="s">
        <v>68</v>
      </c>
      <c r="B9" s="55"/>
      <c r="C9" s="55"/>
      <c r="D9" s="56"/>
      <c r="E9" s="313" t="s">
        <v>10</v>
      </c>
      <c r="F9" s="60" t="s">
        <v>12</v>
      </c>
      <c r="G9" s="60" t="s">
        <v>14</v>
      </c>
      <c r="H9" s="60" t="s">
        <v>20</v>
      </c>
      <c r="I9" s="60" t="s">
        <v>22</v>
      </c>
      <c r="J9" s="112" t="s">
        <v>24</v>
      </c>
    </row>
    <row r="10" spans="1:13">
      <c r="A10" s="54"/>
      <c r="B10" s="55"/>
      <c r="C10" s="55"/>
      <c r="D10" s="56"/>
      <c r="E10" s="313" t="s">
        <v>11</v>
      </c>
      <c r="F10" s="60" t="s">
        <v>13</v>
      </c>
      <c r="G10" s="59"/>
      <c r="H10" s="60" t="s">
        <v>21</v>
      </c>
      <c r="I10" s="60" t="s">
        <v>23</v>
      </c>
      <c r="J10" s="111"/>
    </row>
    <row r="11" spans="1:13">
      <c r="A11" s="62"/>
      <c r="B11" s="63"/>
      <c r="C11" s="63"/>
      <c r="D11" s="64"/>
      <c r="E11" s="65">
        <v>0.3</v>
      </c>
      <c r="F11" s="66">
        <v>0.7</v>
      </c>
      <c r="G11" s="59"/>
      <c r="H11" s="67"/>
      <c r="I11" s="68"/>
      <c r="J11" s="113"/>
    </row>
    <row r="12" spans="1:13" ht="18" customHeight="1">
      <c r="A12" s="70" t="s">
        <v>0</v>
      </c>
      <c r="B12" s="71"/>
      <c r="C12" s="71"/>
      <c r="D12" s="72"/>
      <c r="E12" s="51"/>
      <c r="F12" s="51"/>
      <c r="G12" s="51"/>
      <c r="H12" s="51"/>
      <c r="I12" s="51"/>
      <c r="J12" s="110"/>
      <c r="L12" s="315" t="s">
        <v>90</v>
      </c>
      <c r="M12" s="315" t="s">
        <v>89</v>
      </c>
    </row>
    <row r="13" spans="1:13" ht="18" customHeight="1">
      <c r="A13" s="73" t="s">
        <v>1</v>
      </c>
      <c r="B13" s="72"/>
      <c r="C13" s="72"/>
      <c r="D13" s="72"/>
      <c r="E13" s="94">
        <f>M19*0.3</f>
        <v>505609.40849999967</v>
      </c>
      <c r="F13" s="94">
        <f>M19*0.7</f>
        <v>1179755.2864999992</v>
      </c>
      <c r="G13" s="94"/>
      <c r="H13" s="94"/>
      <c r="I13" s="94"/>
      <c r="J13" s="114">
        <f>SUM(E13:I13)</f>
        <v>1685364.6949999989</v>
      </c>
      <c r="K13" s="175" t="e">
        <f>SUM(J13+#REF!+#REF!+#REF!+#REF!+#REF!+#REF!+#REF!+#REF!+#REF!+#REF!+#REF!)</f>
        <v>#REF!</v>
      </c>
      <c r="L13" s="109">
        <v>21367644.399999999</v>
      </c>
      <c r="M13" s="109">
        <v>4171566.4</v>
      </c>
    </row>
    <row r="14" spans="1:13" ht="18" customHeight="1">
      <c r="A14" s="73" t="s">
        <v>2</v>
      </c>
      <c r="B14" s="72"/>
      <c r="C14" s="72"/>
      <c r="D14" s="72"/>
      <c r="E14" s="102"/>
      <c r="F14" s="102"/>
      <c r="G14" s="102"/>
      <c r="H14" s="102"/>
      <c r="I14" s="102"/>
      <c r="J14" s="110"/>
      <c r="K14" s="117" t="s">
        <v>88</v>
      </c>
      <c r="L14" s="109">
        <v>9400000</v>
      </c>
      <c r="M14" s="109">
        <v>5637398.9699999997</v>
      </c>
    </row>
    <row r="15" spans="1:13" ht="18" customHeight="1">
      <c r="A15" s="75" t="s">
        <v>3</v>
      </c>
      <c r="B15" s="48"/>
      <c r="C15" s="48"/>
      <c r="D15" s="48"/>
      <c r="E15" s="102"/>
      <c r="F15" s="102"/>
      <c r="G15" s="102"/>
      <c r="H15" s="102"/>
      <c r="I15" s="102"/>
      <c r="J15" s="110"/>
      <c r="L15" s="116">
        <f>SUM(L13:L14)</f>
        <v>30767644.399999999</v>
      </c>
      <c r="M15" s="116">
        <f>SUM(M13:M14)</f>
        <v>9808965.3699999992</v>
      </c>
    </row>
    <row r="16" spans="1:13" ht="18" customHeight="1">
      <c r="A16" s="76" t="s">
        <v>78</v>
      </c>
      <c r="B16" s="55"/>
      <c r="C16" s="55"/>
      <c r="D16" s="55"/>
      <c r="E16" s="103"/>
      <c r="F16" s="103"/>
      <c r="G16" s="103"/>
      <c r="H16" s="103"/>
      <c r="I16" s="103"/>
      <c r="J16" s="113"/>
      <c r="K16" s="46">
        <v>11930281.960000001</v>
      </c>
    </row>
    <row r="17" spans="1:14" ht="18" customHeight="1">
      <c r="A17" s="77" t="s">
        <v>79</v>
      </c>
      <c r="B17" s="72"/>
      <c r="C17" s="72"/>
      <c r="D17" s="72"/>
      <c r="E17" s="94"/>
      <c r="F17" s="94"/>
      <c r="G17" s="94"/>
      <c r="H17" s="94"/>
      <c r="I17" s="94"/>
      <c r="J17" s="113">
        <f>SUM(E17:I17)</f>
        <v>0</v>
      </c>
      <c r="K17" s="173">
        <f>K16-J16</f>
        <v>11930281.960000001</v>
      </c>
      <c r="M17" s="109">
        <v>25936573.030000001</v>
      </c>
    </row>
    <row r="18" spans="1:14" ht="18" customHeight="1">
      <c r="A18" s="70" t="s">
        <v>7</v>
      </c>
      <c r="B18" s="72"/>
      <c r="C18" s="72"/>
      <c r="D18" s="72"/>
      <c r="E18" s="119">
        <f>SUM(E13:E17)</f>
        <v>505609.40849999967</v>
      </c>
      <c r="F18" s="119">
        <f t="shared" ref="F18:J18" si="0">SUM(F13:F17)</f>
        <v>1179755.2864999992</v>
      </c>
      <c r="G18" s="119">
        <f t="shared" si="0"/>
        <v>0</v>
      </c>
      <c r="H18" s="119">
        <f t="shared" si="0"/>
        <v>0</v>
      </c>
      <c r="I18" s="119">
        <f t="shared" si="0"/>
        <v>0</v>
      </c>
      <c r="J18" s="305">
        <f t="shared" si="0"/>
        <v>1685364.6949999989</v>
      </c>
      <c r="K18" s="166">
        <f t="shared" ref="K18:K45" si="1">SUM(E18:I18)</f>
        <v>1685364.6949999989</v>
      </c>
      <c r="L18" s="193" t="s">
        <v>171</v>
      </c>
      <c r="M18" s="192">
        <f>443749035.94-410041742.04</f>
        <v>33707293.899999976</v>
      </c>
    </row>
    <row r="19" spans="1:14" s="109" customFormat="1" ht="18" customHeight="1">
      <c r="A19" s="74" t="s">
        <v>99</v>
      </c>
      <c r="B19" s="72" t="s">
        <v>100</v>
      </c>
      <c r="C19" s="72"/>
      <c r="D19" s="72"/>
      <c r="E19" s="94">
        <f>SUM('DRRM Funds June 2016 '!E46)</f>
        <v>27844724.270600002</v>
      </c>
      <c r="F19" s="94">
        <f>SUM('DRRM Funds June 2016 '!F46)</f>
        <v>26133011.0414</v>
      </c>
      <c r="G19" s="94">
        <f>SUM('DRRM Funds June 2016 '!G46)</f>
        <v>0</v>
      </c>
      <c r="H19" s="94">
        <f>SUM('DRRM Funds June 2016 '!H46)</f>
        <v>0</v>
      </c>
      <c r="I19" s="94">
        <f>SUM('DRRM Funds June 2016 '!I46)</f>
        <v>0</v>
      </c>
      <c r="J19" s="94">
        <f>SUM('DRRM Funds June 2016 '!J46)</f>
        <v>53977735.311999999</v>
      </c>
      <c r="K19" s="166">
        <f t="shared" si="1"/>
        <v>53977735.312000006</v>
      </c>
      <c r="L19" s="194">
        <v>0.05</v>
      </c>
      <c r="M19" s="269">
        <f>M18*0.05</f>
        <v>1685364.6949999989</v>
      </c>
    </row>
    <row r="20" spans="1:14" s="109" customFormat="1" ht="18" customHeight="1">
      <c r="A20" s="70" t="s">
        <v>101</v>
      </c>
      <c r="B20" s="122"/>
      <c r="C20" s="72"/>
      <c r="D20" s="72"/>
      <c r="E20" s="119">
        <f>SUM(E18:E19)</f>
        <v>28350333.679100003</v>
      </c>
      <c r="F20" s="119">
        <f t="shared" ref="F20:J20" si="2">SUM(F18:F19)</f>
        <v>27312766.3279</v>
      </c>
      <c r="G20" s="119">
        <f>SUM(G18:G19)</f>
        <v>0</v>
      </c>
      <c r="H20" s="119">
        <f t="shared" si="2"/>
        <v>0</v>
      </c>
      <c r="I20" s="119">
        <f t="shared" si="2"/>
        <v>0</v>
      </c>
      <c r="J20" s="119">
        <f t="shared" si="2"/>
        <v>55663100.006999999</v>
      </c>
      <c r="K20" s="166">
        <f t="shared" si="1"/>
        <v>55663100.006999999</v>
      </c>
    </row>
    <row r="21" spans="1:14" ht="18" customHeight="1">
      <c r="A21" s="70" t="s">
        <v>15</v>
      </c>
      <c r="B21" s="72"/>
      <c r="C21" s="72"/>
      <c r="D21" s="72"/>
      <c r="E21" s="94"/>
      <c r="F21" s="94"/>
      <c r="G21" s="94"/>
      <c r="H21" s="94"/>
      <c r="I21" s="94"/>
      <c r="J21" s="114"/>
      <c r="K21" s="166">
        <f t="shared" si="1"/>
        <v>0</v>
      </c>
      <c r="M21" s="109">
        <v>26972032.48</v>
      </c>
    </row>
    <row r="22" spans="1:14" ht="18" customHeight="1">
      <c r="A22" s="77" t="s">
        <v>206</v>
      </c>
      <c r="B22" s="263"/>
      <c r="C22" s="263"/>
      <c r="D22" s="263"/>
      <c r="E22" s="94"/>
      <c r="F22" s="94"/>
      <c r="G22" s="94"/>
      <c r="H22" s="94"/>
      <c r="I22" s="94"/>
      <c r="J22" s="114">
        <f>SUM(E22:I22)</f>
        <v>0</v>
      </c>
      <c r="K22" s="166"/>
    </row>
    <row r="23" spans="1:14" ht="18" customHeight="1">
      <c r="A23" s="77" t="s">
        <v>251</v>
      </c>
      <c r="B23" s="263"/>
      <c r="C23" s="263"/>
      <c r="D23" s="263"/>
      <c r="E23" s="94"/>
      <c r="F23" s="94"/>
      <c r="G23" s="94"/>
      <c r="H23" s="94"/>
      <c r="I23" s="94"/>
      <c r="J23" s="114">
        <f t="shared" ref="J23:J42" si="3">SUM(E23:I23)</f>
        <v>0</v>
      </c>
      <c r="K23" s="166">
        <f t="shared" si="1"/>
        <v>0</v>
      </c>
      <c r="L23" s="176">
        <f>518731460.56*0.05</f>
        <v>25936573.028000001</v>
      </c>
      <c r="M23" s="109">
        <v>125607.13</v>
      </c>
    </row>
    <row r="24" spans="1:14" ht="18" customHeight="1">
      <c r="A24" s="290" t="s">
        <v>229</v>
      </c>
      <c r="B24" s="291"/>
      <c r="C24" s="291"/>
      <c r="D24" s="291"/>
      <c r="E24" s="292"/>
      <c r="F24" s="292">
        <v>25931.5</v>
      </c>
      <c r="G24" s="292"/>
      <c r="H24" s="292"/>
      <c r="I24" s="292"/>
      <c r="J24" s="114">
        <f t="shared" si="3"/>
        <v>25931.5</v>
      </c>
      <c r="K24" s="166"/>
      <c r="L24" s="228"/>
    </row>
    <row r="25" spans="1:14" ht="18" customHeight="1">
      <c r="A25" s="290" t="s">
        <v>252</v>
      </c>
      <c r="B25" s="291"/>
      <c r="C25" s="291"/>
      <c r="D25" s="291"/>
      <c r="E25" s="292"/>
      <c r="F25" s="292">
        <v>4293.5</v>
      </c>
      <c r="G25" s="292"/>
      <c r="H25" s="292"/>
      <c r="I25" s="292"/>
      <c r="J25" s="114">
        <f t="shared" si="3"/>
        <v>4293.5</v>
      </c>
      <c r="K25" s="166">
        <f t="shared" si="1"/>
        <v>4293.5</v>
      </c>
      <c r="M25" s="232" t="s">
        <v>236</v>
      </c>
    </row>
    <row r="26" spans="1:14" ht="18" customHeight="1">
      <c r="A26" s="290" t="s">
        <v>276</v>
      </c>
      <c r="B26" s="291"/>
      <c r="C26" s="291"/>
      <c r="D26" s="291"/>
      <c r="E26" s="292"/>
      <c r="F26" s="292">
        <v>250405.5</v>
      </c>
      <c r="G26" s="292"/>
      <c r="H26" s="292"/>
      <c r="I26" s="292"/>
      <c r="J26" s="114">
        <f t="shared" si="3"/>
        <v>250405.5</v>
      </c>
      <c r="K26" s="166">
        <f t="shared" si="1"/>
        <v>250405.5</v>
      </c>
      <c r="M26" s="229">
        <v>275607.13</v>
      </c>
      <c r="N26" s="46" t="s">
        <v>230</v>
      </c>
    </row>
    <row r="27" spans="1:14" ht="18" customHeight="1">
      <c r="A27" s="293" t="s">
        <v>275</v>
      </c>
      <c r="B27" s="291"/>
      <c r="C27" s="291"/>
      <c r="D27" s="291"/>
      <c r="E27" s="292"/>
      <c r="F27" s="292"/>
      <c r="G27" s="292"/>
      <c r="H27" s="292"/>
      <c r="I27" s="292"/>
      <c r="J27" s="114">
        <f t="shared" si="3"/>
        <v>0</v>
      </c>
      <c r="K27" s="166">
        <f t="shared" si="1"/>
        <v>0</v>
      </c>
      <c r="M27" s="229">
        <v>695000</v>
      </c>
      <c r="N27" s="46" t="s">
        <v>232</v>
      </c>
    </row>
    <row r="28" spans="1:14" ht="18" customHeight="1">
      <c r="A28" s="290" t="s">
        <v>274</v>
      </c>
      <c r="B28" s="291"/>
      <c r="C28" s="291"/>
      <c r="D28" s="291"/>
      <c r="E28" s="292"/>
      <c r="F28" s="292"/>
      <c r="G28" s="292"/>
      <c r="H28" s="292"/>
      <c r="I28" s="292"/>
      <c r="J28" s="114">
        <f t="shared" si="3"/>
        <v>0</v>
      </c>
      <c r="K28" s="166">
        <f t="shared" si="1"/>
        <v>0</v>
      </c>
      <c r="M28" s="229">
        <v>1470000</v>
      </c>
      <c r="N28" s="46" t="s">
        <v>233</v>
      </c>
    </row>
    <row r="29" spans="1:14" ht="18" customHeight="1">
      <c r="A29" s="290" t="s">
        <v>227</v>
      </c>
      <c r="B29" s="291"/>
      <c r="C29" s="291"/>
      <c r="D29" s="291"/>
      <c r="E29" s="292"/>
      <c r="F29" s="292"/>
      <c r="G29" s="292"/>
      <c r="H29" s="292"/>
      <c r="I29" s="292"/>
      <c r="J29" s="114">
        <f t="shared" si="3"/>
        <v>0</v>
      </c>
      <c r="K29" s="166">
        <f t="shared" si="1"/>
        <v>0</v>
      </c>
      <c r="L29" s="315"/>
      <c r="M29" s="229">
        <v>3071228.76</v>
      </c>
      <c r="N29" s="46" t="s">
        <v>231</v>
      </c>
    </row>
    <row r="30" spans="1:14" ht="18" customHeight="1">
      <c r="A30" s="290" t="s">
        <v>273</v>
      </c>
      <c r="B30" s="291"/>
      <c r="C30" s="291"/>
      <c r="D30" s="291"/>
      <c r="E30" s="292"/>
      <c r="F30" s="292"/>
      <c r="G30" s="292"/>
      <c r="H30" s="292"/>
      <c r="I30" s="292"/>
      <c r="J30" s="114">
        <f t="shared" si="3"/>
        <v>0</v>
      </c>
      <c r="K30" s="166"/>
      <c r="L30" s="315"/>
      <c r="M30" s="229">
        <v>5009130</v>
      </c>
      <c r="N30" s="46" t="s">
        <v>234</v>
      </c>
    </row>
    <row r="31" spans="1:14" ht="18" customHeight="1">
      <c r="A31" s="290" t="s">
        <v>213</v>
      </c>
      <c r="B31" s="291"/>
      <c r="C31" s="291"/>
      <c r="D31" s="291"/>
      <c r="E31" s="292"/>
      <c r="F31" s="292"/>
      <c r="G31" s="292"/>
      <c r="H31" s="292"/>
      <c r="I31" s="292"/>
      <c r="J31" s="114">
        <f t="shared" si="3"/>
        <v>0</v>
      </c>
      <c r="K31" s="166"/>
      <c r="L31" s="315"/>
      <c r="M31" s="230">
        <v>1900100</v>
      </c>
      <c r="N31" s="46" t="s">
        <v>235</v>
      </c>
    </row>
    <row r="32" spans="1:14" ht="18" customHeight="1">
      <c r="A32" s="290" t="s">
        <v>250</v>
      </c>
      <c r="B32" s="291"/>
      <c r="C32" s="291"/>
      <c r="D32" s="291"/>
      <c r="E32" s="292"/>
      <c r="F32" s="292"/>
      <c r="G32" s="292"/>
      <c r="H32" s="292"/>
      <c r="I32" s="292"/>
      <c r="J32" s="114">
        <f t="shared" si="3"/>
        <v>0</v>
      </c>
      <c r="K32" s="166"/>
      <c r="L32" s="315"/>
      <c r="M32" s="289">
        <f>SUM(M26:M31)</f>
        <v>12421065.890000001</v>
      </c>
    </row>
    <row r="33" spans="1:13" ht="18" customHeight="1">
      <c r="A33" s="290" t="s">
        <v>214</v>
      </c>
      <c r="B33" s="291"/>
      <c r="C33" s="291"/>
      <c r="D33" s="291"/>
      <c r="E33" s="292"/>
      <c r="F33" s="292"/>
      <c r="G33" s="292"/>
      <c r="H33" s="292"/>
      <c r="I33" s="292"/>
      <c r="J33" s="114">
        <f t="shared" si="3"/>
        <v>0</v>
      </c>
      <c r="K33" s="227"/>
      <c r="L33" s="315"/>
    </row>
    <row r="34" spans="1:13" ht="18" customHeight="1">
      <c r="A34" s="290" t="s">
        <v>249</v>
      </c>
      <c r="B34" s="291"/>
      <c r="C34" s="291"/>
      <c r="D34" s="291"/>
      <c r="E34" s="292"/>
      <c r="F34" s="292"/>
      <c r="G34" s="292"/>
      <c r="H34" s="292"/>
      <c r="I34" s="292"/>
      <c r="J34" s="114">
        <f t="shared" si="3"/>
        <v>0</v>
      </c>
      <c r="K34" s="265"/>
      <c r="L34" s="315"/>
    </row>
    <row r="35" spans="1:13" ht="18" customHeight="1">
      <c r="A35" s="290" t="s">
        <v>222</v>
      </c>
      <c r="B35" s="291"/>
      <c r="C35" s="291"/>
      <c r="D35" s="291"/>
      <c r="E35" s="292"/>
      <c r="F35" s="292"/>
      <c r="G35" s="292"/>
      <c r="H35" s="292"/>
      <c r="I35" s="292"/>
      <c r="J35" s="114">
        <f t="shared" si="3"/>
        <v>0</v>
      </c>
      <c r="K35" s="266">
        <f t="shared" si="1"/>
        <v>0</v>
      </c>
      <c r="L35" s="109">
        <f>SUM(F29:F35)</f>
        <v>0</v>
      </c>
    </row>
    <row r="36" spans="1:13" ht="18" customHeight="1">
      <c r="A36" s="290" t="s">
        <v>223</v>
      </c>
      <c r="B36" s="291"/>
      <c r="C36" s="291"/>
      <c r="D36" s="291"/>
      <c r="E36" s="292"/>
      <c r="F36" s="292"/>
      <c r="G36" s="292"/>
      <c r="H36" s="292"/>
      <c r="I36" s="292"/>
      <c r="J36" s="114">
        <f t="shared" si="3"/>
        <v>0</v>
      </c>
      <c r="K36" s="166">
        <f t="shared" si="1"/>
        <v>0</v>
      </c>
      <c r="L36" s="109">
        <v>147060</v>
      </c>
    </row>
    <row r="37" spans="1:13" ht="18" customHeight="1">
      <c r="A37" s="290" t="s">
        <v>168</v>
      </c>
      <c r="B37" s="291"/>
      <c r="C37" s="291"/>
      <c r="D37" s="291"/>
      <c r="E37" s="292"/>
      <c r="F37" s="292"/>
      <c r="G37" s="292"/>
      <c r="H37" s="292"/>
      <c r="I37" s="292"/>
      <c r="J37" s="114">
        <f t="shared" si="3"/>
        <v>0</v>
      </c>
      <c r="K37" s="166">
        <f t="shared" si="1"/>
        <v>0</v>
      </c>
    </row>
    <row r="38" spans="1:13" ht="18" customHeight="1">
      <c r="A38" s="290" t="s">
        <v>293</v>
      </c>
      <c r="B38" s="291"/>
      <c r="C38" s="291"/>
      <c r="D38" s="291"/>
      <c r="E38" s="292"/>
      <c r="F38" s="292"/>
      <c r="G38" s="292"/>
      <c r="H38" s="292"/>
      <c r="I38" s="292"/>
      <c r="J38" s="114">
        <f t="shared" si="3"/>
        <v>0</v>
      </c>
      <c r="K38" s="166">
        <f t="shared" si="1"/>
        <v>0</v>
      </c>
      <c r="L38" s="109">
        <v>1555500</v>
      </c>
    </row>
    <row r="39" spans="1:13" ht="18" customHeight="1">
      <c r="A39" s="290" t="s">
        <v>207</v>
      </c>
      <c r="B39" s="291"/>
      <c r="C39" s="291"/>
      <c r="D39" s="291"/>
      <c r="E39" s="292"/>
      <c r="F39" s="292"/>
      <c r="G39" s="292"/>
      <c r="H39" s="292"/>
      <c r="I39" s="292"/>
      <c r="J39" s="114">
        <f t="shared" si="3"/>
        <v>0</v>
      </c>
      <c r="K39" s="166"/>
    </row>
    <row r="40" spans="1:13" ht="18" customHeight="1">
      <c r="A40" s="83" t="s">
        <v>94</v>
      </c>
      <c r="B40" s="263"/>
      <c r="C40" s="263"/>
      <c r="D40" s="263"/>
      <c r="E40" s="94"/>
      <c r="F40" s="94"/>
      <c r="G40" s="94"/>
      <c r="H40" s="94"/>
      <c r="I40" s="94"/>
      <c r="J40" s="114">
        <f t="shared" si="3"/>
        <v>0</v>
      </c>
      <c r="K40" s="166">
        <f t="shared" si="1"/>
        <v>0</v>
      </c>
      <c r="L40" s="109">
        <v>177000</v>
      </c>
    </row>
    <row r="41" spans="1:13" ht="18" customHeight="1">
      <c r="A41" s="83" t="s">
        <v>95</v>
      </c>
      <c r="B41" s="263"/>
      <c r="C41" s="263"/>
      <c r="D41" s="263"/>
      <c r="E41" s="94"/>
      <c r="F41" s="94"/>
      <c r="G41" s="94"/>
      <c r="H41" s="94"/>
      <c r="I41" s="94"/>
      <c r="J41" s="114">
        <f t="shared" si="3"/>
        <v>0</v>
      </c>
      <c r="K41" s="166">
        <f t="shared" si="1"/>
        <v>0</v>
      </c>
      <c r="L41" s="109">
        <v>204055</v>
      </c>
    </row>
    <row r="42" spans="1:13" ht="18" customHeight="1">
      <c r="A42" s="77" t="s">
        <v>96</v>
      </c>
      <c r="B42" s="263"/>
      <c r="C42" s="263"/>
      <c r="D42" s="263"/>
      <c r="E42" s="94"/>
      <c r="F42" s="102"/>
      <c r="G42" s="94"/>
      <c r="H42" s="94"/>
      <c r="I42" s="94"/>
      <c r="J42" s="114">
        <f t="shared" si="3"/>
        <v>0</v>
      </c>
      <c r="K42" s="166">
        <f t="shared" si="1"/>
        <v>0</v>
      </c>
      <c r="L42" s="109">
        <v>71070</v>
      </c>
    </row>
    <row r="43" spans="1:13" ht="18" customHeight="1">
      <c r="A43" s="84" t="s">
        <v>92</v>
      </c>
      <c r="B43" s="63"/>
      <c r="C43" s="63"/>
      <c r="D43" s="63"/>
      <c r="E43" s="89">
        <f>SUM(E22:E42)</f>
        <v>0</v>
      </c>
      <c r="F43" s="303">
        <f t="shared" ref="F43:J43" si="4">SUM(F22:F42)</f>
        <v>280630.5</v>
      </c>
      <c r="G43" s="304">
        <f>SUM(G22:G42)</f>
        <v>0</v>
      </c>
      <c r="H43" s="94">
        <f t="shared" si="4"/>
        <v>0</v>
      </c>
      <c r="I43" s="94">
        <f t="shared" si="4"/>
        <v>0</v>
      </c>
      <c r="J43" s="292">
        <f t="shared" si="4"/>
        <v>280630.5</v>
      </c>
      <c r="K43" s="166">
        <f t="shared" si="1"/>
        <v>280630.5</v>
      </c>
      <c r="L43" s="109">
        <v>27800</v>
      </c>
      <c r="M43" s="46"/>
    </row>
    <row r="44" spans="1:13" ht="18" customHeight="1">
      <c r="A44" s="84" t="s">
        <v>103</v>
      </c>
      <c r="B44" s="63"/>
      <c r="C44" s="63"/>
      <c r="D44" s="63"/>
      <c r="E44" s="103">
        <f>SUM('DRRM Funds June 2016 '!E45)</f>
        <v>0</v>
      </c>
      <c r="F44" s="103">
        <f>SUM('DRRM Funds June 2016 '!F45)</f>
        <v>8310391.9099999992</v>
      </c>
      <c r="G44" s="103">
        <f>SUM('DRRM Funds June 2016 '!G45)</f>
        <v>0</v>
      </c>
      <c r="H44" s="103">
        <f>SUM('DRRM Funds June 2016 '!H45)</f>
        <v>0</v>
      </c>
      <c r="I44" s="103">
        <f>SUM('DRRM Funds June 2016 '!I45)</f>
        <v>0</v>
      </c>
      <c r="J44" s="103">
        <f>SUM('DRRM Funds June 2016 '!J45)</f>
        <v>8310391.9099999992</v>
      </c>
      <c r="K44" s="166">
        <f t="shared" si="1"/>
        <v>8310391.9099999992</v>
      </c>
      <c r="L44" s="109">
        <v>126865</v>
      </c>
      <c r="M44" s="109">
        <f>SUM(E44:H44)</f>
        <v>8310391.9099999992</v>
      </c>
    </row>
    <row r="45" spans="1:13" ht="18" customHeight="1">
      <c r="A45" s="84" t="s">
        <v>104</v>
      </c>
      <c r="B45" s="63"/>
      <c r="C45" s="63"/>
      <c r="D45" s="63"/>
      <c r="E45" s="103">
        <f>SUM(E43:E44)</f>
        <v>0</v>
      </c>
      <c r="F45" s="103">
        <f t="shared" ref="F45:J45" si="5">SUM(F43:F44)</f>
        <v>8591022.4100000001</v>
      </c>
      <c r="G45" s="103">
        <f t="shared" si="5"/>
        <v>0</v>
      </c>
      <c r="H45" s="103">
        <f t="shared" si="5"/>
        <v>0</v>
      </c>
      <c r="I45" s="103">
        <f t="shared" si="5"/>
        <v>0</v>
      </c>
      <c r="J45" s="103">
        <f t="shared" si="5"/>
        <v>8591022.4100000001</v>
      </c>
      <c r="K45" s="166">
        <f t="shared" si="1"/>
        <v>8591022.4100000001</v>
      </c>
      <c r="L45" s="174">
        <f>SUM(L35:L44)</f>
        <v>2309350</v>
      </c>
      <c r="M45" s="109">
        <v>10492358.970000001</v>
      </c>
    </row>
    <row r="46" spans="1:13" ht="18" customHeight="1">
      <c r="A46" s="70" t="s">
        <v>93</v>
      </c>
      <c r="B46" s="72"/>
      <c r="C46" s="72"/>
      <c r="D46" s="80"/>
      <c r="E46" s="231">
        <f t="shared" ref="E46:J46" si="6">E20-E43</f>
        <v>28350333.679100003</v>
      </c>
      <c r="F46" s="231">
        <f t="shared" si="6"/>
        <v>27032135.8279</v>
      </c>
      <c r="G46" s="231">
        <f>G20-G43</f>
        <v>0</v>
      </c>
      <c r="H46" s="231">
        <f t="shared" si="6"/>
        <v>0</v>
      </c>
      <c r="I46" s="231">
        <f t="shared" si="6"/>
        <v>0</v>
      </c>
      <c r="J46" s="231">
        <f t="shared" si="6"/>
        <v>55382469.506999999</v>
      </c>
      <c r="K46" s="166">
        <f>SUM(E46:I46)</f>
        <v>55382469.506999999</v>
      </c>
      <c r="L46" s="46"/>
      <c r="M46" s="109">
        <f>M45-L45</f>
        <v>8183008.9700000007</v>
      </c>
    </row>
    <row r="47" spans="1:13" ht="18" customHeight="1">
      <c r="A47" s="55"/>
      <c r="B47" s="55"/>
      <c r="C47" s="55"/>
      <c r="D47" s="55"/>
      <c r="E47" s="55"/>
      <c r="F47" s="55"/>
      <c r="G47" s="55"/>
      <c r="H47" s="55"/>
      <c r="I47" s="55"/>
      <c r="J47" s="115" t="s">
        <v>74</v>
      </c>
      <c r="K47" s="92">
        <f>SUM(E46:F46)</f>
        <v>55382469.506999999</v>
      </c>
      <c r="M47" s="109">
        <v>0</v>
      </c>
    </row>
    <row r="48" spans="1:13">
      <c r="A48" s="55" t="s">
        <v>83</v>
      </c>
      <c r="B48" s="55"/>
      <c r="C48" s="55"/>
      <c r="D48" s="55"/>
      <c r="E48" s="55"/>
      <c r="F48" s="55"/>
      <c r="G48" s="55"/>
      <c r="H48" s="55" t="s">
        <v>29</v>
      </c>
      <c r="I48" s="55"/>
      <c r="J48" s="115"/>
      <c r="K48" s="55"/>
      <c r="L48" s="109">
        <v>752760</v>
      </c>
    </row>
    <row r="49" spans="1:13">
      <c r="A49" s="55"/>
      <c r="B49" s="55"/>
      <c r="C49" s="55"/>
      <c r="D49" s="55"/>
      <c r="E49" s="55"/>
      <c r="F49" s="55"/>
      <c r="G49" s="55"/>
      <c r="H49" s="55"/>
      <c r="I49" s="55"/>
      <c r="J49" s="115"/>
      <c r="K49" s="55"/>
      <c r="L49" s="109">
        <v>902075</v>
      </c>
    </row>
    <row r="50" spans="1:13">
      <c r="A50" s="82" t="s">
        <v>202</v>
      </c>
      <c r="B50" s="55"/>
      <c r="C50" s="55"/>
      <c r="D50" s="55"/>
      <c r="E50" s="55"/>
      <c r="F50" s="55"/>
      <c r="G50" s="55"/>
      <c r="H50" s="241" t="s">
        <v>72</v>
      </c>
      <c r="I50" s="55"/>
      <c r="J50" s="115"/>
      <c r="K50" s="55"/>
      <c r="L50" s="109">
        <v>504234.65</v>
      </c>
      <c r="M50" s="109">
        <v>8736531.7100000009</v>
      </c>
    </row>
    <row r="51" spans="1:13">
      <c r="A51" s="140" t="s">
        <v>287</v>
      </c>
      <c r="B51" s="55"/>
      <c r="C51" s="55"/>
      <c r="D51" s="55"/>
      <c r="E51" s="55"/>
      <c r="F51" s="55"/>
      <c r="G51" s="55"/>
      <c r="H51" s="140" t="s">
        <v>85</v>
      </c>
      <c r="I51" s="55"/>
      <c r="J51" s="115"/>
      <c r="K51" s="55"/>
      <c r="L51" s="109">
        <v>899145</v>
      </c>
      <c r="M51" s="109">
        <v>10140</v>
      </c>
    </row>
    <row r="52" spans="1:13">
      <c r="A52" s="55"/>
      <c r="B52" s="55"/>
      <c r="C52" s="55"/>
      <c r="D52" s="55"/>
      <c r="E52" s="121" t="s">
        <v>237</v>
      </c>
      <c r="F52" s="55"/>
      <c r="G52" s="55"/>
      <c r="H52" s="55"/>
      <c r="I52" s="55"/>
      <c r="J52" s="115"/>
      <c r="K52" s="55"/>
      <c r="L52" s="109">
        <v>1087927.3999999999</v>
      </c>
      <c r="M52" s="109">
        <f>SUM(M50:M51)</f>
        <v>8746671.7100000009</v>
      </c>
    </row>
    <row r="53" spans="1:13">
      <c r="A53" s="55"/>
      <c r="B53" s="55"/>
      <c r="C53" s="55"/>
      <c r="D53" s="55"/>
      <c r="E53" s="115"/>
      <c r="F53" s="55"/>
      <c r="G53" s="55"/>
      <c r="H53" s="55"/>
      <c r="I53" s="115"/>
      <c r="J53" s="115"/>
      <c r="K53" s="55"/>
      <c r="L53" s="109">
        <v>2896515.5</v>
      </c>
    </row>
    <row r="54" spans="1:13">
      <c r="A54" s="55"/>
      <c r="B54" s="55"/>
      <c r="C54" s="55"/>
      <c r="D54" s="55"/>
      <c r="E54" s="82" t="s">
        <v>298</v>
      </c>
      <c r="F54" s="55"/>
      <c r="G54" s="55"/>
      <c r="H54" s="55"/>
      <c r="I54" s="115"/>
      <c r="J54" s="115"/>
      <c r="K54" s="55"/>
    </row>
    <row r="55" spans="1:13">
      <c r="A55" s="55"/>
      <c r="B55" s="55"/>
      <c r="C55" s="55"/>
      <c r="D55" s="55"/>
      <c r="E55" s="55" t="s">
        <v>299</v>
      </c>
      <c r="F55" s="55"/>
      <c r="G55" s="55"/>
      <c r="H55" s="55"/>
      <c r="I55" s="115"/>
      <c r="J55" s="115"/>
      <c r="K55" s="55"/>
      <c r="L55" s="109">
        <v>120000</v>
      </c>
    </row>
    <row r="56" spans="1:13">
      <c r="I56" s="109"/>
      <c r="M56" s="46"/>
    </row>
    <row r="57" spans="1:13">
      <c r="F57" s="121"/>
      <c r="I57" s="109"/>
      <c r="K57" s="55"/>
      <c r="L57" s="115">
        <v>630000</v>
      </c>
      <c r="M57" s="183">
        <v>10644424.82</v>
      </c>
    </row>
    <row r="58" spans="1:13">
      <c r="B58" s="276" t="s">
        <v>236</v>
      </c>
      <c r="F58" s="115"/>
      <c r="I58" s="109"/>
      <c r="J58" s="109">
        <v>7850000</v>
      </c>
      <c r="L58" s="109">
        <v>1000000</v>
      </c>
      <c r="M58" s="183">
        <v>13157941.960000001</v>
      </c>
    </row>
    <row r="59" spans="1:13">
      <c r="I59" s="109"/>
      <c r="J59" s="109">
        <v>800000</v>
      </c>
      <c r="L59" s="109">
        <v>1300000</v>
      </c>
      <c r="M59" s="184">
        <v>0</v>
      </c>
    </row>
    <row r="60" spans="1:13">
      <c r="A60" s="46" t="s">
        <v>282</v>
      </c>
      <c r="B60" s="392">
        <f>1493800+99900</f>
        <v>1593700</v>
      </c>
      <c r="C60" s="392"/>
      <c r="I60" s="109"/>
      <c r="J60" s="109">
        <v>1200000</v>
      </c>
      <c r="L60" s="109">
        <v>2000000</v>
      </c>
      <c r="M60" s="183">
        <f>SUM(M57:M59)</f>
        <v>23802366.780000001</v>
      </c>
    </row>
    <row r="61" spans="1:13">
      <c r="A61" s="46" t="s">
        <v>281</v>
      </c>
      <c r="B61" s="392">
        <v>1400000</v>
      </c>
      <c r="C61" s="392"/>
      <c r="I61" s="109"/>
      <c r="J61" s="109">
        <v>3500000</v>
      </c>
      <c r="L61" s="109">
        <v>150000</v>
      </c>
      <c r="M61" s="183">
        <v>24092226.780000001</v>
      </c>
    </row>
    <row r="62" spans="1:13">
      <c r="A62" s="46" t="s">
        <v>258</v>
      </c>
      <c r="B62" s="393">
        <v>1975000</v>
      </c>
      <c r="C62" s="393"/>
      <c r="I62" s="109">
        <v>100000</v>
      </c>
      <c r="J62" s="116">
        <f>SUM(J58:J61)</f>
        <v>13350000</v>
      </c>
      <c r="L62" s="109">
        <v>4590281.96</v>
      </c>
      <c r="M62" s="183">
        <f>M61-M60</f>
        <v>289860</v>
      </c>
    </row>
    <row r="63" spans="1:13">
      <c r="A63" s="46" t="s">
        <v>283</v>
      </c>
      <c r="B63" s="387">
        <v>1214184.3500000001</v>
      </c>
      <c r="C63" s="387"/>
      <c r="I63" s="109">
        <v>4589687.1100000003</v>
      </c>
      <c r="J63" s="109">
        <v>16829861.079999998</v>
      </c>
      <c r="L63" s="109">
        <f>SUM(L57:L62)</f>
        <v>9670281.9600000009</v>
      </c>
      <c r="M63" s="46"/>
    </row>
    <row r="64" spans="1:13">
      <c r="B64" s="388">
        <f>SUM(B60:C63)</f>
        <v>6182884.3499999996</v>
      </c>
      <c r="C64" s="388"/>
      <c r="I64" s="116">
        <f>SUM(I58:I63)</f>
        <v>4689687.1100000003</v>
      </c>
      <c r="J64" s="109">
        <f>J62-J63</f>
        <v>-3479861.0799999982</v>
      </c>
      <c r="M64" s="109">
        <v>24416573.030000001</v>
      </c>
    </row>
    <row r="65" spans="1:13">
      <c r="I65" s="109">
        <v>7212797.6100000003</v>
      </c>
      <c r="M65" s="109">
        <v>24708913.030000001</v>
      </c>
    </row>
    <row r="66" spans="1:13">
      <c r="I66" s="109">
        <f>I64-I65</f>
        <v>-2523110.5</v>
      </c>
      <c r="M66" s="109">
        <f>M64-M65</f>
        <v>-292340</v>
      </c>
    </row>
    <row r="67" spans="1:13">
      <c r="I67" s="109"/>
      <c r="M67" s="109">
        <v>289860</v>
      </c>
    </row>
    <row r="68" spans="1:13">
      <c r="I68" s="109"/>
      <c r="J68" s="109">
        <v>25346381.800000001</v>
      </c>
      <c r="M68" s="173">
        <f>SUM(M66:M67)</f>
        <v>-2480</v>
      </c>
    </row>
    <row r="69" spans="1:13">
      <c r="I69" s="109"/>
      <c r="J69" s="109">
        <v>24042658.690000001</v>
      </c>
      <c r="M69" s="46"/>
    </row>
    <row r="70" spans="1:13">
      <c r="I70" s="109"/>
      <c r="J70" s="109">
        <f>J68-J69</f>
        <v>1303723.1099999994</v>
      </c>
      <c r="L70" s="109">
        <v>400000</v>
      </c>
      <c r="M70" s="46"/>
    </row>
    <row r="71" spans="1:13">
      <c r="I71" s="109"/>
      <c r="L71" s="109">
        <v>1000000</v>
      </c>
      <c r="M71" s="109">
        <v>25279.7</v>
      </c>
    </row>
    <row r="72" spans="1:13">
      <c r="I72" s="109"/>
      <c r="M72" s="109">
        <v>27759.7</v>
      </c>
    </row>
    <row r="73" spans="1:13">
      <c r="H73" s="109"/>
      <c r="I73" s="109"/>
      <c r="M73" s="173">
        <f>M71-M72</f>
        <v>-2480</v>
      </c>
    </row>
    <row r="74" spans="1:13">
      <c r="H74" s="109">
        <v>4455551.57</v>
      </c>
      <c r="I74" s="109"/>
      <c r="J74" s="109">
        <v>17496381.800000001</v>
      </c>
      <c r="M74" s="46"/>
    </row>
    <row r="75" spans="1:13">
      <c r="H75" s="109">
        <v>5760963.6399999997</v>
      </c>
      <c r="I75" s="109"/>
      <c r="J75" s="109">
        <v>7850000</v>
      </c>
      <c r="M75" s="46"/>
    </row>
    <row r="76" spans="1:13">
      <c r="H76" s="109">
        <f>SUM(H74:H75)</f>
        <v>10216515.210000001</v>
      </c>
      <c r="I76" s="109"/>
      <c r="J76" s="109">
        <f>SUM(J74:J75)</f>
        <v>25346381.800000001</v>
      </c>
      <c r="M76" s="46"/>
    </row>
    <row r="77" spans="1:13" s="109" customFormat="1">
      <c r="A77" s="46"/>
      <c r="B77" s="46"/>
      <c r="C77" s="46"/>
      <c r="D77" s="46"/>
      <c r="E77" s="46"/>
      <c r="F77" s="46"/>
      <c r="G77" s="46"/>
    </row>
    <row r="78" spans="1:13" s="109" customFormat="1">
      <c r="A78" s="46"/>
      <c r="B78" s="46"/>
      <c r="C78" s="46"/>
      <c r="D78" s="46"/>
      <c r="E78" s="46"/>
      <c r="F78" s="46"/>
      <c r="G78" s="46"/>
    </row>
    <row r="79" spans="1:13" s="109" customFormat="1">
      <c r="A79" s="46"/>
      <c r="B79" s="46"/>
      <c r="C79" s="46"/>
      <c r="D79" s="46"/>
      <c r="E79" s="46"/>
      <c r="F79" s="46"/>
      <c r="G79" s="46"/>
    </row>
    <row r="80" spans="1:13" s="109" customFormat="1">
      <c r="A80" s="46"/>
      <c r="B80" s="46"/>
      <c r="C80" s="46"/>
      <c r="D80" s="46"/>
      <c r="E80" s="46"/>
      <c r="F80" s="46"/>
      <c r="G80" s="46"/>
    </row>
    <row r="81" spans="1:11" s="109" customFormat="1">
      <c r="A81" s="46"/>
      <c r="B81" s="46"/>
      <c r="C81" s="46"/>
      <c r="D81" s="46"/>
      <c r="E81" s="46"/>
      <c r="F81" s="46"/>
      <c r="G81" s="46"/>
    </row>
    <row r="82" spans="1:11" s="109" customFormat="1">
      <c r="A82" s="46"/>
      <c r="B82" s="46"/>
      <c r="C82" s="46"/>
      <c r="D82" s="46"/>
      <c r="E82" s="46"/>
      <c r="F82" s="46"/>
      <c r="G82" s="46"/>
    </row>
    <row r="83" spans="1:11" s="109" customFormat="1">
      <c r="A83" s="46"/>
      <c r="B83" s="46"/>
      <c r="C83" s="46"/>
      <c r="D83" s="46"/>
      <c r="E83" s="46"/>
      <c r="F83" s="46"/>
      <c r="G83" s="46"/>
      <c r="H83" s="46"/>
    </row>
    <row r="84" spans="1:11" s="109" customFormat="1">
      <c r="A84" s="46"/>
      <c r="B84" s="46"/>
      <c r="C84" s="46"/>
      <c r="D84" s="46"/>
      <c r="E84" s="46"/>
      <c r="F84" s="46"/>
      <c r="G84" s="46"/>
      <c r="H84" s="46"/>
    </row>
    <row r="85" spans="1:11" s="109" customFormat="1">
      <c r="A85" s="46"/>
      <c r="B85" s="46"/>
      <c r="C85" s="46"/>
      <c r="D85" s="46"/>
      <c r="E85" s="46"/>
      <c r="F85" s="46"/>
      <c r="G85" s="46"/>
      <c r="H85" s="46"/>
    </row>
    <row r="86" spans="1:11" s="109" customFormat="1">
      <c r="A86" s="46"/>
      <c r="B86" s="46"/>
      <c r="C86" s="46"/>
      <c r="D86" s="46"/>
      <c r="E86" s="46"/>
      <c r="F86" s="46"/>
      <c r="G86" s="46"/>
      <c r="H86" s="46"/>
    </row>
    <row r="87" spans="1:11" s="109" customFormat="1">
      <c r="A87" s="46"/>
      <c r="B87" s="46"/>
      <c r="C87" s="46"/>
      <c r="D87" s="46"/>
      <c r="E87" s="46"/>
      <c r="F87" s="46"/>
      <c r="G87" s="46"/>
      <c r="H87" s="46"/>
      <c r="K87" s="46"/>
    </row>
    <row r="88" spans="1:11" s="109" customFormat="1">
      <c r="A88" s="46"/>
      <c r="B88" s="46"/>
      <c r="C88" s="46"/>
      <c r="D88" s="46"/>
      <c r="E88" s="46"/>
      <c r="F88" s="46"/>
      <c r="G88" s="46"/>
      <c r="H88" s="46"/>
      <c r="K88" s="46"/>
    </row>
    <row r="89" spans="1:11" s="109" customFormat="1">
      <c r="A89" s="46"/>
      <c r="B89" s="46"/>
      <c r="C89" s="46"/>
      <c r="D89" s="46"/>
      <c r="E89" s="46"/>
      <c r="F89" s="46"/>
      <c r="G89" s="46"/>
      <c r="H89" s="46"/>
      <c r="K89" s="46"/>
    </row>
    <row r="90" spans="1:11" s="109" customFormat="1">
      <c r="A90" s="46"/>
      <c r="B90" s="46"/>
      <c r="C90" s="46"/>
      <c r="D90" s="46"/>
      <c r="E90" s="46"/>
      <c r="F90" s="46"/>
      <c r="G90" s="46"/>
      <c r="H90" s="46"/>
      <c r="K90" s="46"/>
    </row>
    <row r="91" spans="1:11" s="109" customFormat="1">
      <c r="A91" s="46"/>
      <c r="B91" s="46"/>
      <c r="C91" s="46"/>
      <c r="D91" s="46"/>
      <c r="E91" s="46"/>
      <c r="F91" s="46"/>
      <c r="G91" s="46"/>
      <c r="H91" s="46"/>
      <c r="K91" s="46"/>
    </row>
    <row r="92" spans="1:11" s="109" customFormat="1">
      <c r="A92" s="46"/>
      <c r="B92" s="46"/>
      <c r="C92" s="46"/>
      <c r="D92" s="46"/>
      <c r="E92" s="46"/>
      <c r="F92" s="46"/>
      <c r="G92" s="46"/>
      <c r="H92" s="46"/>
      <c r="K92" s="46"/>
    </row>
    <row r="93" spans="1:11" s="109" customFormat="1">
      <c r="A93" s="46"/>
      <c r="B93" s="46"/>
      <c r="C93" s="46"/>
      <c r="D93" s="46"/>
      <c r="E93" s="46"/>
      <c r="F93" s="46"/>
      <c r="G93" s="46"/>
      <c r="H93" s="46"/>
      <c r="K93" s="46"/>
    </row>
    <row r="94" spans="1:11" s="109" customFormat="1">
      <c r="A94" s="46"/>
      <c r="B94" s="46"/>
      <c r="C94" s="46"/>
      <c r="D94" s="46"/>
      <c r="E94" s="46"/>
      <c r="F94" s="46"/>
      <c r="G94" s="46"/>
      <c r="H94" s="46"/>
      <c r="K94" s="46"/>
    </row>
    <row r="95" spans="1:11" s="109" customFormat="1">
      <c r="A95" s="46"/>
      <c r="B95" s="46"/>
      <c r="C95" s="46"/>
      <c r="D95" s="46"/>
      <c r="E95" s="46"/>
      <c r="F95" s="46"/>
      <c r="G95" s="46"/>
      <c r="H95" s="46"/>
      <c r="K95" s="46"/>
    </row>
    <row r="96" spans="1:11" s="109" customFormat="1">
      <c r="A96" s="46"/>
      <c r="B96" s="46"/>
      <c r="C96" s="46"/>
      <c r="D96" s="46"/>
      <c r="E96" s="46"/>
      <c r="F96" s="46"/>
      <c r="G96" s="46"/>
      <c r="H96" s="46"/>
      <c r="K96" s="46"/>
    </row>
    <row r="97" spans="1:11" s="109" customFormat="1">
      <c r="A97" s="46"/>
      <c r="B97" s="46"/>
      <c r="C97" s="46"/>
      <c r="D97" s="46"/>
      <c r="E97" s="46"/>
      <c r="F97" s="46"/>
      <c r="G97" s="46"/>
      <c r="H97" s="46"/>
      <c r="K97" s="46"/>
    </row>
    <row r="98" spans="1:11" s="109" customFormat="1">
      <c r="A98" s="46"/>
      <c r="B98" s="46"/>
      <c r="C98" s="46"/>
      <c r="D98" s="46"/>
      <c r="E98" s="46"/>
      <c r="F98" s="46"/>
      <c r="G98" s="46"/>
      <c r="H98" s="46"/>
      <c r="K98" s="46"/>
    </row>
    <row r="99" spans="1:11" s="109" customFormat="1">
      <c r="A99" s="46"/>
      <c r="B99" s="46"/>
      <c r="C99" s="46"/>
      <c r="D99" s="46"/>
      <c r="E99" s="46"/>
      <c r="F99" s="46"/>
      <c r="G99" s="46"/>
      <c r="H99" s="46"/>
      <c r="K99" s="46"/>
    </row>
  </sheetData>
  <mergeCells count="8">
    <mergeCell ref="B63:C63"/>
    <mergeCell ref="B64:C64"/>
    <mergeCell ref="A2:J2"/>
    <mergeCell ref="A3:J3"/>
    <mergeCell ref="A4:J4"/>
    <mergeCell ref="B60:C60"/>
    <mergeCell ref="B61:C61"/>
    <mergeCell ref="B62:C62"/>
  </mergeCells>
  <printOptions horizontalCentered="1"/>
  <pageMargins left="0.02" right="0.15" top="0.39" bottom="0.1" header="0.21" footer="0.1"/>
  <pageSetup scale="84" orientation="portrait" horizontalDpi="4294967294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N99"/>
  <sheetViews>
    <sheetView topLeftCell="A28" workbookViewId="0">
      <selection activeCell="J21" sqref="J21"/>
    </sheetView>
  </sheetViews>
  <sheetFormatPr defaultRowHeight="12.75"/>
  <cols>
    <col min="1" max="1" width="6" style="46" customWidth="1"/>
    <col min="2" max="3" width="9.140625" style="46"/>
    <col min="4" max="4" width="16.5703125" style="46" customWidth="1"/>
    <col min="5" max="6" width="13.85546875" style="46" customWidth="1"/>
    <col min="7" max="7" width="10" style="46" customWidth="1"/>
    <col min="8" max="8" width="11.5703125" style="46" customWidth="1"/>
    <col min="9" max="9" width="11.42578125" style="46" customWidth="1"/>
    <col min="10" max="10" width="13.28515625" style="109" customWidth="1"/>
    <col min="11" max="11" width="15.7109375" style="46" customWidth="1"/>
    <col min="12" max="12" width="16.85546875" style="109" customWidth="1"/>
    <col min="13" max="13" width="17" style="109" customWidth="1"/>
    <col min="14" max="14" width="17" style="46" customWidth="1"/>
    <col min="15" max="16384" width="9.140625" style="46"/>
  </cols>
  <sheetData>
    <row r="1" spans="1:13">
      <c r="A1" s="47"/>
      <c r="B1" s="48"/>
      <c r="C1" s="48"/>
      <c r="D1" s="48"/>
      <c r="E1" s="48"/>
      <c r="F1" s="48"/>
      <c r="G1" s="48"/>
      <c r="H1" s="48"/>
      <c r="I1" s="48"/>
      <c r="J1" s="169" t="s">
        <v>81</v>
      </c>
    </row>
    <row r="2" spans="1:13">
      <c r="A2" s="389" t="s">
        <v>80</v>
      </c>
      <c r="B2" s="390"/>
      <c r="C2" s="390"/>
      <c r="D2" s="390"/>
      <c r="E2" s="390"/>
      <c r="F2" s="390"/>
      <c r="G2" s="390"/>
      <c r="H2" s="390"/>
      <c r="I2" s="390"/>
      <c r="J2" s="391"/>
    </row>
    <row r="3" spans="1:13">
      <c r="A3" s="389" t="s">
        <v>297</v>
      </c>
      <c r="B3" s="390"/>
      <c r="C3" s="390"/>
      <c r="D3" s="390"/>
      <c r="E3" s="390"/>
      <c r="F3" s="390"/>
      <c r="G3" s="390"/>
      <c r="H3" s="390"/>
      <c r="I3" s="390"/>
      <c r="J3" s="391"/>
    </row>
    <row r="4" spans="1:13">
      <c r="A4" s="389"/>
      <c r="B4" s="390"/>
      <c r="C4" s="390"/>
      <c r="D4" s="390"/>
      <c r="E4" s="390"/>
      <c r="F4" s="390"/>
      <c r="G4" s="390"/>
      <c r="H4" s="390"/>
      <c r="I4" s="390"/>
      <c r="J4" s="391"/>
    </row>
    <row r="5" spans="1:13">
      <c r="A5" s="54" t="s">
        <v>77</v>
      </c>
      <c r="B5" s="307"/>
      <c r="C5" s="307"/>
      <c r="D5" s="307"/>
      <c r="E5" s="307"/>
      <c r="F5" s="307"/>
      <c r="G5" s="307"/>
      <c r="H5" s="307"/>
      <c r="I5" s="307"/>
      <c r="J5" s="170"/>
    </row>
    <row r="6" spans="1:13">
      <c r="A6" s="54" t="s">
        <v>76</v>
      </c>
      <c r="B6" s="55"/>
      <c r="C6" s="55"/>
      <c r="D6" s="55"/>
      <c r="E6" s="55"/>
      <c r="F6" s="55"/>
      <c r="G6" s="55"/>
      <c r="H6" s="55" t="s">
        <v>278</v>
      </c>
      <c r="I6" s="55"/>
      <c r="J6" s="171"/>
      <c r="K6" s="46" t="s">
        <v>210</v>
      </c>
    </row>
    <row r="7" spans="1:13">
      <c r="A7" s="47"/>
      <c r="B7" s="48"/>
      <c r="C7" s="48"/>
      <c r="D7" s="49"/>
      <c r="E7" s="88" t="s">
        <v>8</v>
      </c>
      <c r="F7" s="50"/>
      <c r="G7" s="52"/>
      <c r="H7" s="52"/>
      <c r="I7" s="53"/>
      <c r="J7" s="110"/>
    </row>
    <row r="8" spans="1:13">
      <c r="A8" s="54"/>
      <c r="B8" s="55"/>
      <c r="C8" s="55"/>
      <c r="D8" s="56"/>
      <c r="E8" s="306" t="s">
        <v>9</v>
      </c>
      <c r="F8" s="53"/>
      <c r="G8" s="59"/>
      <c r="H8" s="59"/>
      <c r="I8" s="58"/>
      <c r="J8" s="111"/>
    </row>
    <row r="9" spans="1:13">
      <c r="A9" s="61" t="s">
        <v>68</v>
      </c>
      <c r="B9" s="55"/>
      <c r="C9" s="55"/>
      <c r="D9" s="56"/>
      <c r="E9" s="306" t="s">
        <v>10</v>
      </c>
      <c r="F9" s="60" t="s">
        <v>12</v>
      </c>
      <c r="G9" s="60" t="s">
        <v>14</v>
      </c>
      <c r="H9" s="60" t="s">
        <v>20</v>
      </c>
      <c r="I9" s="60" t="s">
        <v>22</v>
      </c>
      <c r="J9" s="112" t="s">
        <v>24</v>
      </c>
    </row>
    <row r="10" spans="1:13">
      <c r="A10" s="54"/>
      <c r="B10" s="55"/>
      <c r="C10" s="55"/>
      <c r="D10" s="56"/>
      <c r="E10" s="306" t="s">
        <v>11</v>
      </c>
      <c r="F10" s="60" t="s">
        <v>13</v>
      </c>
      <c r="G10" s="59"/>
      <c r="H10" s="60" t="s">
        <v>21</v>
      </c>
      <c r="I10" s="60" t="s">
        <v>23</v>
      </c>
      <c r="J10" s="111"/>
    </row>
    <row r="11" spans="1:13">
      <c r="A11" s="62"/>
      <c r="B11" s="63"/>
      <c r="C11" s="63"/>
      <c r="D11" s="64"/>
      <c r="E11" s="65">
        <v>0.3</v>
      </c>
      <c r="F11" s="66">
        <v>0.7</v>
      </c>
      <c r="G11" s="59"/>
      <c r="H11" s="67"/>
      <c r="I11" s="68"/>
      <c r="J11" s="113"/>
    </row>
    <row r="12" spans="1:13" ht="18" customHeight="1">
      <c r="A12" s="70" t="s">
        <v>0</v>
      </c>
      <c r="B12" s="71"/>
      <c r="C12" s="71"/>
      <c r="D12" s="72"/>
      <c r="E12" s="51"/>
      <c r="F12" s="51"/>
      <c r="G12" s="51"/>
      <c r="H12" s="51"/>
      <c r="I12" s="51"/>
      <c r="J12" s="110"/>
      <c r="L12" s="308" t="s">
        <v>90</v>
      </c>
      <c r="M12" s="308" t="s">
        <v>89</v>
      </c>
    </row>
    <row r="13" spans="1:13" ht="18" customHeight="1">
      <c r="A13" s="73" t="s">
        <v>1</v>
      </c>
      <c r="B13" s="72"/>
      <c r="C13" s="72"/>
      <c r="D13" s="72"/>
      <c r="E13" s="94">
        <f>M19*0.3</f>
        <v>645483.52080000041</v>
      </c>
      <c r="F13" s="94">
        <f>M19*0.7</f>
        <v>1506128.2152000009</v>
      </c>
      <c r="G13" s="94"/>
      <c r="H13" s="94"/>
      <c r="I13" s="94"/>
      <c r="J13" s="114">
        <f>SUM(E13:I13)</f>
        <v>2151611.7360000014</v>
      </c>
      <c r="K13" s="175" t="e">
        <f>SUM(J13+#REF!+#REF!+#REF!+#REF!+#REF!+#REF!+#REF!+#REF!+#REF!+#REF!+#REF!)</f>
        <v>#REF!</v>
      </c>
      <c r="L13" s="109">
        <v>21367644.399999999</v>
      </c>
      <c r="M13" s="109">
        <v>4171566.4</v>
      </c>
    </row>
    <row r="14" spans="1:13" ht="18" customHeight="1">
      <c r="A14" s="73" t="s">
        <v>2</v>
      </c>
      <c r="B14" s="72"/>
      <c r="C14" s="72"/>
      <c r="D14" s="72"/>
      <c r="E14" s="102"/>
      <c r="F14" s="102"/>
      <c r="G14" s="102"/>
      <c r="H14" s="102"/>
      <c r="I14" s="102"/>
      <c r="J14" s="110"/>
      <c r="K14" s="117" t="s">
        <v>88</v>
      </c>
      <c r="L14" s="109">
        <v>9400000</v>
      </c>
      <c r="M14" s="109">
        <v>5637398.9699999997</v>
      </c>
    </row>
    <row r="15" spans="1:13" ht="18" customHeight="1">
      <c r="A15" s="75" t="s">
        <v>3</v>
      </c>
      <c r="B15" s="48"/>
      <c r="C15" s="48"/>
      <c r="D15" s="48"/>
      <c r="E15" s="102"/>
      <c r="F15" s="102"/>
      <c r="G15" s="102"/>
      <c r="H15" s="102"/>
      <c r="I15" s="102"/>
      <c r="J15" s="110"/>
      <c r="L15" s="116">
        <f>SUM(L13:L14)</f>
        <v>30767644.399999999</v>
      </c>
      <c r="M15" s="116">
        <f>SUM(M13:M14)</f>
        <v>9808965.3699999992</v>
      </c>
    </row>
    <row r="16" spans="1:13" ht="18" customHeight="1">
      <c r="A16" s="76" t="s">
        <v>78</v>
      </c>
      <c r="B16" s="55"/>
      <c r="C16" s="55"/>
      <c r="D16" s="55"/>
      <c r="E16" s="103"/>
      <c r="F16" s="103"/>
      <c r="G16" s="103"/>
      <c r="H16" s="103"/>
      <c r="I16" s="103"/>
      <c r="J16" s="113"/>
      <c r="K16" s="46">
        <v>11930281.960000001</v>
      </c>
    </row>
    <row r="17" spans="1:14" ht="18" customHeight="1">
      <c r="A17" s="77" t="s">
        <v>79</v>
      </c>
      <c r="B17" s="72"/>
      <c r="C17" s="72"/>
      <c r="D17" s="72"/>
      <c r="E17" s="94"/>
      <c r="F17" s="94"/>
      <c r="G17" s="94"/>
      <c r="H17" s="94"/>
      <c r="I17" s="94"/>
      <c r="J17" s="113">
        <f>SUM(E17:I17)</f>
        <v>0</v>
      </c>
      <c r="K17" s="173">
        <f>K16-J16</f>
        <v>11930281.960000001</v>
      </c>
      <c r="M17" s="109">
        <v>25936573.030000001</v>
      </c>
    </row>
    <row r="18" spans="1:14" ht="18" customHeight="1">
      <c r="A18" s="70" t="s">
        <v>7</v>
      </c>
      <c r="B18" s="72"/>
      <c r="C18" s="72"/>
      <c r="D18" s="72"/>
      <c r="E18" s="119">
        <f>SUM(E13:E17)</f>
        <v>645483.52080000041</v>
      </c>
      <c r="F18" s="119">
        <f t="shared" ref="F18:J18" si="0">SUM(F13:F17)</f>
        <v>1506128.2152000009</v>
      </c>
      <c r="G18" s="119">
        <f t="shared" si="0"/>
        <v>0</v>
      </c>
      <c r="H18" s="119">
        <f t="shared" si="0"/>
        <v>0</v>
      </c>
      <c r="I18" s="119">
        <f t="shared" si="0"/>
        <v>0</v>
      </c>
      <c r="J18" s="305">
        <f t="shared" si="0"/>
        <v>2151611.7360000014</v>
      </c>
      <c r="K18" s="166">
        <f t="shared" ref="K18:K45" si="1">SUM(E18:I18)</f>
        <v>2151611.7360000014</v>
      </c>
      <c r="L18" s="193" t="s">
        <v>171</v>
      </c>
      <c r="M18" s="192">
        <f>410041742.04-367009507.32</f>
        <v>43032234.720000029</v>
      </c>
    </row>
    <row r="19" spans="1:14" s="109" customFormat="1" ht="18" customHeight="1">
      <c r="A19" s="74" t="s">
        <v>99</v>
      </c>
      <c r="B19" s="72" t="s">
        <v>100</v>
      </c>
      <c r="C19" s="72"/>
      <c r="D19" s="72"/>
      <c r="E19" s="94">
        <f>SUM('DRRM Funds May2016'!E46)</f>
        <v>27199240.7498</v>
      </c>
      <c r="F19" s="94">
        <f>SUM('DRRM Funds May2016'!F46)</f>
        <v>25854921.126200002</v>
      </c>
      <c r="G19" s="94">
        <f>SUM('DRRM Funds May2016'!G46)</f>
        <v>0</v>
      </c>
      <c r="H19" s="94">
        <f>SUM('DRRM Funds May2016'!H46)</f>
        <v>0</v>
      </c>
      <c r="I19" s="94">
        <f>SUM('DRRM Funds May2016'!I46)</f>
        <v>0</v>
      </c>
      <c r="J19" s="94">
        <f>SUM('DRRM Funds May2016'!J46)</f>
        <v>53054161.875999995</v>
      </c>
      <c r="K19" s="166">
        <f t="shared" si="1"/>
        <v>53054161.876000002</v>
      </c>
      <c r="L19" s="194">
        <v>0.05</v>
      </c>
      <c r="M19" s="269">
        <f>M18*0.05</f>
        <v>2151611.7360000014</v>
      </c>
    </row>
    <row r="20" spans="1:14" s="109" customFormat="1" ht="18" customHeight="1">
      <c r="A20" s="70" t="s">
        <v>101</v>
      </c>
      <c r="B20" s="122"/>
      <c r="C20" s="72"/>
      <c r="D20" s="72"/>
      <c r="E20" s="119">
        <f>SUM(E18:E19)</f>
        <v>27844724.270600002</v>
      </c>
      <c r="F20" s="119">
        <f t="shared" ref="F20:J20" si="2">SUM(F18:F19)</f>
        <v>27361049.341400001</v>
      </c>
      <c r="G20" s="119">
        <f>SUM(G18:G19)</f>
        <v>0</v>
      </c>
      <c r="H20" s="119">
        <f t="shared" si="2"/>
        <v>0</v>
      </c>
      <c r="I20" s="119">
        <f t="shared" si="2"/>
        <v>0</v>
      </c>
      <c r="J20" s="119">
        <f t="shared" si="2"/>
        <v>55205773.611999996</v>
      </c>
      <c r="K20" s="166">
        <f t="shared" si="1"/>
        <v>55205773.612000003</v>
      </c>
    </row>
    <row r="21" spans="1:14" ht="18" customHeight="1">
      <c r="A21" s="70" t="s">
        <v>15</v>
      </c>
      <c r="B21" s="72"/>
      <c r="C21" s="72"/>
      <c r="D21" s="72"/>
      <c r="E21" s="94"/>
      <c r="F21" s="94"/>
      <c r="G21" s="94"/>
      <c r="H21" s="94"/>
      <c r="I21" s="94"/>
      <c r="J21" s="114"/>
      <c r="K21" s="166">
        <f t="shared" si="1"/>
        <v>0</v>
      </c>
      <c r="M21" s="109">
        <v>26972032.48</v>
      </c>
    </row>
    <row r="22" spans="1:14" ht="18" customHeight="1">
      <c r="A22" s="77" t="s">
        <v>206</v>
      </c>
      <c r="B22" s="263"/>
      <c r="C22" s="263"/>
      <c r="D22" s="263"/>
      <c r="E22" s="94"/>
      <c r="F22" s="94">
        <v>287800</v>
      </c>
      <c r="G22" s="94"/>
      <c r="H22" s="94"/>
      <c r="I22" s="94"/>
      <c r="J22" s="114">
        <f>SUM(E22:I22)</f>
        <v>287800</v>
      </c>
      <c r="K22" s="166"/>
    </row>
    <row r="23" spans="1:14" ht="18" customHeight="1">
      <c r="A23" s="77" t="s">
        <v>251</v>
      </c>
      <c r="B23" s="263"/>
      <c r="C23" s="263"/>
      <c r="D23" s="263"/>
      <c r="E23" s="94"/>
      <c r="F23" s="94"/>
      <c r="G23" s="94"/>
      <c r="H23" s="94"/>
      <c r="I23" s="94"/>
      <c r="J23" s="114">
        <f t="shared" ref="J23:J42" si="3">SUM(E23:I23)</f>
        <v>0</v>
      </c>
      <c r="K23" s="166">
        <f t="shared" si="1"/>
        <v>0</v>
      </c>
      <c r="L23" s="176">
        <f>518731460.56*0.05</f>
        <v>25936573.028000001</v>
      </c>
      <c r="M23" s="109">
        <v>125607.13</v>
      </c>
    </row>
    <row r="24" spans="1:14" ht="18" customHeight="1">
      <c r="A24" s="290" t="s">
        <v>229</v>
      </c>
      <c r="B24" s="291"/>
      <c r="C24" s="291"/>
      <c r="D24" s="291"/>
      <c r="E24" s="292"/>
      <c r="F24" s="292"/>
      <c r="G24" s="292"/>
      <c r="H24" s="292"/>
      <c r="I24" s="292"/>
      <c r="J24" s="114">
        <f t="shared" si="3"/>
        <v>0</v>
      </c>
      <c r="K24" s="166"/>
      <c r="L24" s="228"/>
    </row>
    <row r="25" spans="1:14" ht="18" customHeight="1">
      <c r="A25" s="290" t="s">
        <v>252</v>
      </c>
      <c r="B25" s="291"/>
      <c r="C25" s="291"/>
      <c r="D25" s="291"/>
      <c r="E25" s="292"/>
      <c r="F25" s="292">
        <f>47100+42950</f>
        <v>90050</v>
      </c>
      <c r="G25" s="292"/>
      <c r="H25" s="292"/>
      <c r="I25" s="292"/>
      <c r="J25" s="114">
        <f t="shared" si="3"/>
        <v>90050</v>
      </c>
      <c r="K25" s="166">
        <f t="shared" si="1"/>
        <v>90050</v>
      </c>
      <c r="M25" s="232" t="s">
        <v>236</v>
      </c>
    </row>
    <row r="26" spans="1:14" ht="18" customHeight="1">
      <c r="A26" s="290" t="s">
        <v>276</v>
      </c>
      <c r="B26" s="291"/>
      <c r="C26" s="291"/>
      <c r="D26" s="291"/>
      <c r="E26" s="292"/>
      <c r="F26" s="292"/>
      <c r="G26" s="292"/>
      <c r="H26" s="292"/>
      <c r="I26" s="292"/>
      <c r="J26" s="114">
        <f t="shared" si="3"/>
        <v>0</v>
      </c>
      <c r="K26" s="166">
        <f t="shared" si="1"/>
        <v>0</v>
      </c>
      <c r="M26" s="229">
        <v>275607.13</v>
      </c>
      <c r="N26" s="46" t="s">
        <v>230</v>
      </c>
    </row>
    <row r="27" spans="1:14" ht="18" customHeight="1">
      <c r="A27" s="293" t="s">
        <v>275</v>
      </c>
      <c r="B27" s="291"/>
      <c r="C27" s="291"/>
      <c r="D27" s="291"/>
      <c r="E27" s="292"/>
      <c r="F27" s="292"/>
      <c r="G27" s="292"/>
      <c r="H27" s="292"/>
      <c r="I27" s="292"/>
      <c r="J27" s="114">
        <f t="shared" si="3"/>
        <v>0</v>
      </c>
      <c r="K27" s="166">
        <f t="shared" si="1"/>
        <v>0</v>
      </c>
      <c r="M27" s="229">
        <v>695000</v>
      </c>
      <c r="N27" s="46" t="s">
        <v>232</v>
      </c>
    </row>
    <row r="28" spans="1:14" ht="18" customHeight="1">
      <c r="A28" s="290" t="s">
        <v>274</v>
      </c>
      <c r="B28" s="291"/>
      <c r="C28" s="291"/>
      <c r="D28" s="291"/>
      <c r="E28" s="292"/>
      <c r="F28" s="292"/>
      <c r="G28" s="292"/>
      <c r="H28" s="292"/>
      <c r="I28" s="292"/>
      <c r="J28" s="114">
        <f t="shared" si="3"/>
        <v>0</v>
      </c>
      <c r="K28" s="166">
        <f t="shared" si="1"/>
        <v>0</v>
      </c>
      <c r="M28" s="229">
        <v>1470000</v>
      </c>
      <c r="N28" s="46" t="s">
        <v>233</v>
      </c>
    </row>
    <row r="29" spans="1:14" ht="18" customHeight="1">
      <c r="A29" s="290" t="s">
        <v>227</v>
      </c>
      <c r="B29" s="291"/>
      <c r="C29" s="291"/>
      <c r="D29" s="291"/>
      <c r="E29" s="292"/>
      <c r="F29" s="292"/>
      <c r="G29" s="292"/>
      <c r="H29" s="292"/>
      <c r="I29" s="292"/>
      <c r="J29" s="114">
        <f t="shared" si="3"/>
        <v>0</v>
      </c>
      <c r="K29" s="166">
        <f t="shared" si="1"/>
        <v>0</v>
      </c>
      <c r="L29" s="308"/>
      <c r="M29" s="229">
        <v>3071228.76</v>
      </c>
      <c r="N29" s="46" t="s">
        <v>231</v>
      </c>
    </row>
    <row r="30" spans="1:14" ht="18" customHeight="1">
      <c r="A30" s="290" t="s">
        <v>273</v>
      </c>
      <c r="B30" s="291"/>
      <c r="C30" s="291"/>
      <c r="D30" s="291"/>
      <c r="E30" s="292"/>
      <c r="F30" s="292"/>
      <c r="G30" s="292"/>
      <c r="H30" s="292"/>
      <c r="I30" s="292"/>
      <c r="J30" s="114">
        <f t="shared" si="3"/>
        <v>0</v>
      </c>
      <c r="K30" s="166"/>
      <c r="L30" s="308"/>
      <c r="M30" s="229">
        <v>5009130</v>
      </c>
      <c r="N30" s="46" t="s">
        <v>234</v>
      </c>
    </row>
    <row r="31" spans="1:14" ht="18" customHeight="1">
      <c r="A31" s="290" t="s">
        <v>213</v>
      </c>
      <c r="B31" s="291"/>
      <c r="C31" s="291"/>
      <c r="D31" s="291"/>
      <c r="E31" s="292"/>
      <c r="F31" s="292"/>
      <c r="G31" s="292"/>
      <c r="H31" s="292"/>
      <c r="I31" s="292"/>
      <c r="J31" s="114">
        <f t="shared" si="3"/>
        <v>0</v>
      </c>
      <c r="K31" s="166"/>
      <c r="L31" s="308"/>
      <c r="M31" s="230">
        <v>1900100</v>
      </c>
      <c r="N31" s="46" t="s">
        <v>235</v>
      </c>
    </row>
    <row r="32" spans="1:14" ht="18" customHeight="1">
      <c r="A32" s="290" t="s">
        <v>250</v>
      </c>
      <c r="B32" s="291"/>
      <c r="C32" s="291"/>
      <c r="D32" s="291"/>
      <c r="E32" s="292"/>
      <c r="F32" s="292"/>
      <c r="G32" s="292"/>
      <c r="H32" s="292"/>
      <c r="I32" s="292"/>
      <c r="J32" s="114">
        <f t="shared" si="3"/>
        <v>0</v>
      </c>
      <c r="K32" s="166"/>
      <c r="L32" s="308"/>
      <c r="M32" s="289">
        <f>SUM(M26:M31)</f>
        <v>12421065.890000001</v>
      </c>
    </row>
    <row r="33" spans="1:13" ht="18" customHeight="1">
      <c r="A33" s="290" t="s">
        <v>214</v>
      </c>
      <c r="B33" s="291"/>
      <c r="C33" s="291"/>
      <c r="D33" s="291"/>
      <c r="E33" s="292"/>
      <c r="F33" s="292"/>
      <c r="G33" s="292"/>
      <c r="H33" s="292"/>
      <c r="I33" s="292"/>
      <c r="J33" s="114">
        <f t="shared" si="3"/>
        <v>0</v>
      </c>
      <c r="K33" s="227"/>
      <c r="L33" s="308"/>
    </row>
    <row r="34" spans="1:13" ht="18" customHeight="1">
      <c r="A34" s="290" t="s">
        <v>249</v>
      </c>
      <c r="B34" s="291"/>
      <c r="C34" s="291"/>
      <c r="D34" s="291"/>
      <c r="E34" s="292"/>
      <c r="F34" s="292">
        <v>323028.3</v>
      </c>
      <c r="G34" s="292"/>
      <c r="H34" s="292"/>
      <c r="I34" s="292"/>
      <c r="J34" s="114">
        <f t="shared" si="3"/>
        <v>323028.3</v>
      </c>
      <c r="K34" s="265"/>
      <c r="L34" s="308"/>
    </row>
    <row r="35" spans="1:13" ht="18" customHeight="1">
      <c r="A35" s="290" t="s">
        <v>222</v>
      </c>
      <c r="B35" s="291"/>
      <c r="C35" s="291"/>
      <c r="D35" s="291"/>
      <c r="E35" s="292"/>
      <c r="F35" s="292"/>
      <c r="G35" s="292"/>
      <c r="H35" s="292"/>
      <c r="I35" s="292"/>
      <c r="J35" s="114">
        <f t="shared" si="3"/>
        <v>0</v>
      </c>
      <c r="K35" s="266">
        <f t="shared" si="1"/>
        <v>0</v>
      </c>
      <c r="L35" s="109">
        <f>SUM(F29:F35)</f>
        <v>323028.3</v>
      </c>
    </row>
    <row r="36" spans="1:13" ht="18" customHeight="1">
      <c r="A36" s="290" t="s">
        <v>223</v>
      </c>
      <c r="B36" s="291"/>
      <c r="C36" s="291"/>
      <c r="D36" s="291"/>
      <c r="E36" s="292"/>
      <c r="F36" s="292"/>
      <c r="G36" s="292"/>
      <c r="H36" s="292"/>
      <c r="I36" s="292"/>
      <c r="J36" s="114">
        <f t="shared" si="3"/>
        <v>0</v>
      </c>
      <c r="K36" s="166">
        <f t="shared" si="1"/>
        <v>0</v>
      </c>
      <c r="L36" s="109">
        <v>147060</v>
      </c>
    </row>
    <row r="37" spans="1:13" ht="18" customHeight="1">
      <c r="A37" s="290" t="s">
        <v>168</v>
      </c>
      <c r="B37" s="291"/>
      <c r="C37" s="291"/>
      <c r="D37" s="291"/>
      <c r="E37" s="292"/>
      <c r="F37" s="292"/>
      <c r="G37" s="292"/>
      <c r="H37" s="292"/>
      <c r="I37" s="292"/>
      <c r="J37" s="114">
        <f t="shared" si="3"/>
        <v>0</v>
      </c>
      <c r="K37" s="166">
        <f t="shared" si="1"/>
        <v>0</v>
      </c>
    </row>
    <row r="38" spans="1:13" ht="18" customHeight="1">
      <c r="A38" s="290" t="s">
        <v>293</v>
      </c>
      <c r="B38" s="291"/>
      <c r="C38" s="291"/>
      <c r="D38" s="291"/>
      <c r="E38" s="292"/>
      <c r="F38" s="292"/>
      <c r="G38" s="292"/>
      <c r="H38" s="292"/>
      <c r="I38" s="292"/>
      <c r="J38" s="114">
        <f t="shared" si="3"/>
        <v>0</v>
      </c>
      <c r="K38" s="166">
        <f t="shared" si="1"/>
        <v>0</v>
      </c>
      <c r="L38" s="109">
        <v>1555500</v>
      </c>
    </row>
    <row r="39" spans="1:13" ht="18" customHeight="1">
      <c r="A39" s="290" t="s">
        <v>207</v>
      </c>
      <c r="B39" s="291"/>
      <c r="C39" s="291"/>
      <c r="D39" s="291"/>
      <c r="E39" s="292"/>
      <c r="F39" s="292">
        <f>2860+524300</f>
        <v>527160</v>
      </c>
      <c r="G39" s="292"/>
      <c r="H39" s="292"/>
      <c r="I39" s="292"/>
      <c r="J39" s="114">
        <f t="shared" si="3"/>
        <v>527160</v>
      </c>
      <c r="K39" s="166"/>
    </row>
    <row r="40" spans="1:13" ht="18" customHeight="1">
      <c r="A40" s="83" t="s">
        <v>94</v>
      </c>
      <c r="B40" s="263"/>
      <c r="C40" s="263"/>
      <c r="D40" s="263"/>
      <c r="E40" s="94"/>
      <c r="F40" s="94"/>
      <c r="G40" s="94"/>
      <c r="H40" s="94"/>
      <c r="I40" s="94"/>
      <c r="J40" s="114">
        <f t="shared" si="3"/>
        <v>0</v>
      </c>
      <c r="K40" s="166">
        <f t="shared" si="1"/>
        <v>0</v>
      </c>
      <c r="L40" s="109">
        <v>177000</v>
      </c>
    </row>
    <row r="41" spans="1:13" ht="18" customHeight="1">
      <c r="A41" s="83" t="s">
        <v>95</v>
      </c>
      <c r="B41" s="263"/>
      <c r="C41" s="263"/>
      <c r="D41" s="263"/>
      <c r="E41" s="94"/>
      <c r="F41" s="94"/>
      <c r="G41" s="94"/>
      <c r="H41" s="94"/>
      <c r="I41" s="94"/>
      <c r="J41" s="114">
        <f t="shared" si="3"/>
        <v>0</v>
      </c>
      <c r="K41" s="166">
        <f t="shared" si="1"/>
        <v>0</v>
      </c>
      <c r="L41" s="109">
        <v>204055</v>
      </c>
    </row>
    <row r="42" spans="1:13" ht="18" customHeight="1">
      <c r="A42" s="77" t="s">
        <v>96</v>
      </c>
      <c r="B42" s="263"/>
      <c r="C42" s="263"/>
      <c r="D42" s="263"/>
      <c r="E42" s="94"/>
      <c r="F42" s="102"/>
      <c r="G42" s="94"/>
      <c r="H42" s="94"/>
      <c r="I42" s="94"/>
      <c r="J42" s="114">
        <f t="shared" si="3"/>
        <v>0</v>
      </c>
      <c r="K42" s="166">
        <f t="shared" si="1"/>
        <v>0</v>
      </c>
      <c r="L42" s="109">
        <v>71070</v>
      </c>
    </row>
    <row r="43" spans="1:13" ht="18" customHeight="1">
      <c r="A43" s="84" t="s">
        <v>92</v>
      </c>
      <c r="B43" s="63"/>
      <c r="C43" s="63"/>
      <c r="D43" s="63"/>
      <c r="E43" s="89">
        <f>SUM(E22:E42)</f>
        <v>0</v>
      </c>
      <c r="F43" s="303">
        <f t="shared" ref="F43:J43" si="4">SUM(F22:F42)</f>
        <v>1228038.3</v>
      </c>
      <c r="G43" s="304">
        <f>SUM(G22:G42)</f>
        <v>0</v>
      </c>
      <c r="H43" s="94">
        <f t="shared" si="4"/>
        <v>0</v>
      </c>
      <c r="I43" s="94">
        <f t="shared" si="4"/>
        <v>0</v>
      </c>
      <c r="J43" s="94">
        <f t="shared" si="4"/>
        <v>1228038.3</v>
      </c>
      <c r="K43" s="166">
        <f t="shared" si="1"/>
        <v>1228038.3</v>
      </c>
      <c r="L43" s="109">
        <v>27800</v>
      </c>
      <c r="M43" s="46"/>
    </row>
    <row r="44" spans="1:13" ht="18" customHeight="1">
      <c r="A44" s="84" t="s">
        <v>103</v>
      </c>
      <c r="B44" s="63"/>
      <c r="C44" s="63"/>
      <c r="D44" s="63"/>
      <c r="E44" s="103">
        <f>SUM('DRRM Funds May2016'!E45)</f>
        <v>0</v>
      </c>
      <c r="F44" s="103">
        <f>SUM('DRRM Funds May2016'!F45)</f>
        <v>7082353.6099999994</v>
      </c>
      <c r="G44" s="103">
        <f>SUM('DRRM Funds May2016'!G45)</f>
        <v>0</v>
      </c>
      <c r="H44" s="103">
        <f>SUM('DRRM Funds May2016'!H45)</f>
        <v>0</v>
      </c>
      <c r="I44" s="103">
        <f>SUM('DRRM Funds May2016'!I45)</f>
        <v>0</v>
      </c>
      <c r="J44" s="103">
        <f>SUM('DRRM Funds May2016'!J45)</f>
        <v>7082353.6099999994</v>
      </c>
      <c r="K44" s="166">
        <f t="shared" si="1"/>
        <v>7082353.6099999994</v>
      </c>
      <c r="L44" s="109">
        <v>126865</v>
      </c>
      <c r="M44" s="109">
        <f>SUM(E44:H44)</f>
        <v>7082353.6099999994</v>
      </c>
    </row>
    <row r="45" spans="1:13" ht="18" customHeight="1">
      <c r="A45" s="84" t="s">
        <v>104</v>
      </c>
      <c r="B45" s="63"/>
      <c r="C45" s="63"/>
      <c r="D45" s="63"/>
      <c r="E45" s="103">
        <f>SUM(E43:E44)</f>
        <v>0</v>
      </c>
      <c r="F45" s="103">
        <f t="shared" ref="F45:J45" si="5">SUM(F43:F44)</f>
        <v>8310391.9099999992</v>
      </c>
      <c r="G45" s="103">
        <f t="shared" si="5"/>
        <v>0</v>
      </c>
      <c r="H45" s="103">
        <f t="shared" si="5"/>
        <v>0</v>
      </c>
      <c r="I45" s="103">
        <f t="shared" si="5"/>
        <v>0</v>
      </c>
      <c r="J45" s="103">
        <f t="shared" si="5"/>
        <v>8310391.9099999992</v>
      </c>
      <c r="K45" s="166">
        <f t="shared" si="1"/>
        <v>8310391.9099999992</v>
      </c>
      <c r="L45" s="174">
        <f>SUM(L35:L44)</f>
        <v>2632378.2999999998</v>
      </c>
      <c r="M45" s="109">
        <v>10492358.970000001</v>
      </c>
    </row>
    <row r="46" spans="1:13" ht="18" customHeight="1">
      <c r="A46" s="70" t="s">
        <v>93</v>
      </c>
      <c r="B46" s="72"/>
      <c r="C46" s="72"/>
      <c r="D46" s="80"/>
      <c r="E46" s="231">
        <f t="shared" ref="E46:J46" si="6">E20-E43</f>
        <v>27844724.270600002</v>
      </c>
      <c r="F46" s="231">
        <f t="shared" si="6"/>
        <v>26133011.0414</v>
      </c>
      <c r="G46" s="231">
        <f>G20-G43</f>
        <v>0</v>
      </c>
      <c r="H46" s="231">
        <f t="shared" si="6"/>
        <v>0</v>
      </c>
      <c r="I46" s="231">
        <f t="shared" si="6"/>
        <v>0</v>
      </c>
      <c r="J46" s="231">
        <f t="shared" si="6"/>
        <v>53977735.311999999</v>
      </c>
      <c r="K46" s="166">
        <f>SUM(E46:I46)</f>
        <v>53977735.312000006</v>
      </c>
      <c r="L46" s="46"/>
      <c r="M46" s="109">
        <f>M45-L45</f>
        <v>7859980.6700000009</v>
      </c>
    </row>
    <row r="47" spans="1:13" ht="18" customHeight="1">
      <c r="A47" s="55"/>
      <c r="B47" s="55"/>
      <c r="C47" s="55"/>
      <c r="D47" s="55"/>
      <c r="E47" s="55"/>
      <c r="F47" s="55"/>
      <c r="G47" s="55"/>
      <c r="H47" s="55"/>
      <c r="I47" s="55"/>
      <c r="J47" s="115" t="s">
        <v>74</v>
      </c>
      <c r="K47" s="92">
        <f>SUM(E46:F46)</f>
        <v>53977735.312000006</v>
      </c>
      <c r="M47" s="109">
        <v>0</v>
      </c>
    </row>
    <row r="48" spans="1:13">
      <c r="A48" s="55" t="s">
        <v>83</v>
      </c>
      <c r="B48" s="55"/>
      <c r="C48" s="55"/>
      <c r="D48" s="55"/>
      <c r="E48" s="55"/>
      <c r="F48" s="55"/>
      <c r="G48" s="55"/>
      <c r="H48" s="55" t="s">
        <v>29</v>
      </c>
      <c r="I48" s="55"/>
      <c r="J48" s="115"/>
      <c r="K48" s="55"/>
      <c r="L48" s="109">
        <v>752760</v>
      </c>
    </row>
    <row r="49" spans="1:13">
      <c r="A49" s="55"/>
      <c r="B49" s="55"/>
      <c r="C49" s="55"/>
      <c r="D49" s="55"/>
      <c r="E49" s="55"/>
      <c r="F49" s="55"/>
      <c r="G49" s="55"/>
      <c r="H49" s="55"/>
      <c r="I49" s="55"/>
      <c r="J49" s="115"/>
      <c r="K49" s="55"/>
      <c r="L49" s="109">
        <v>902075</v>
      </c>
    </row>
    <row r="50" spans="1:13">
      <c r="A50" s="82" t="s">
        <v>202</v>
      </c>
      <c r="B50" s="55"/>
      <c r="C50" s="55"/>
      <c r="D50" s="55"/>
      <c r="E50" s="55"/>
      <c r="F50" s="55"/>
      <c r="G50" s="55"/>
      <c r="H50" s="241" t="s">
        <v>72</v>
      </c>
      <c r="I50" s="55"/>
      <c r="J50" s="115"/>
      <c r="K50" s="55"/>
      <c r="L50" s="109">
        <v>504234.65</v>
      </c>
      <c r="M50" s="109">
        <v>8736531.7100000009</v>
      </c>
    </row>
    <row r="51" spans="1:13">
      <c r="A51" s="140" t="s">
        <v>287</v>
      </c>
      <c r="B51" s="55"/>
      <c r="C51" s="55"/>
      <c r="D51" s="55"/>
      <c r="E51" s="55"/>
      <c r="F51" s="55"/>
      <c r="G51" s="55"/>
      <c r="H51" s="140" t="s">
        <v>85</v>
      </c>
      <c r="I51" s="55"/>
      <c r="J51" s="115"/>
      <c r="K51" s="55"/>
      <c r="L51" s="109">
        <v>899145</v>
      </c>
      <c r="M51" s="109">
        <v>10140</v>
      </c>
    </row>
    <row r="52" spans="1:13">
      <c r="A52" s="55"/>
      <c r="B52" s="55"/>
      <c r="C52" s="55"/>
      <c r="D52" s="55"/>
      <c r="E52" s="121" t="s">
        <v>237</v>
      </c>
      <c r="F52" s="55"/>
      <c r="G52" s="55"/>
      <c r="H52" s="55"/>
      <c r="I52" s="55"/>
      <c r="J52" s="115"/>
      <c r="K52" s="55"/>
      <c r="L52" s="109">
        <v>1087927.3999999999</v>
      </c>
      <c r="M52" s="109">
        <f>SUM(M50:M51)</f>
        <v>8746671.7100000009</v>
      </c>
    </row>
    <row r="53" spans="1:13">
      <c r="A53" s="55"/>
      <c r="B53" s="55"/>
      <c r="C53" s="55"/>
      <c r="D53" s="55"/>
      <c r="E53" s="115"/>
      <c r="F53" s="55"/>
      <c r="G53" s="55"/>
      <c r="H53" s="55"/>
      <c r="I53" s="115"/>
      <c r="J53" s="115"/>
      <c r="K53" s="55"/>
      <c r="L53" s="109">
        <v>2896515.5</v>
      </c>
    </row>
    <row r="54" spans="1:13">
      <c r="A54" s="55"/>
      <c r="B54" s="55"/>
      <c r="C54" s="55"/>
      <c r="D54" s="55"/>
      <c r="E54" s="82" t="s">
        <v>298</v>
      </c>
      <c r="F54" s="55"/>
      <c r="G54" s="55"/>
      <c r="H54" s="55"/>
      <c r="I54" s="115"/>
      <c r="J54" s="115"/>
      <c r="K54" s="55"/>
    </row>
    <row r="55" spans="1:13">
      <c r="A55" s="55"/>
      <c r="B55" s="55"/>
      <c r="C55" s="55"/>
      <c r="D55" s="55"/>
      <c r="E55" s="55" t="s">
        <v>299</v>
      </c>
      <c r="F55" s="55"/>
      <c r="G55" s="55"/>
      <c r="H55" s="55"/>
      <c r="I55" s="115"/>
      <c r="J55" s="115"/>
      <c r="K55" s="55"/>
      <c r="L55" s="109">
        <v>120000</v>
      </c>
    </row>
    <row r="56" spans="1:13">
      <c r="I56" s="109"/>
      <c r="M56" s="46"/>
    </row>
    <row r="57" spans="1:13">
      <c r="F57" s="121"/>
      <c r="I57" s="109"/>
      <c r="K57" s="55"/>
      <c r="L57" s="115">
        <v>630000</v>
      </c>
      <c r="M57" s="183">
        <v>10644424.82</v>
      </c>
    </row>
    <row r="58" spans="1:13">
      <c r="B58" s="276" t="s">
        <v>236</v>
      </c>
      <c r="F58" s="115"/>
      <c r="I58" s="109"/>
      <c r="J58" s="109">
        <v>7850000</v>
      </c>
      <c r="L58" s="109">
        <v>1000000</v>
      </c>
      <c r="M58" s="183">
        <v>13157941.960000001</v>
      </c>
    </row>
    <row r="59" spans="1:13">
      <c r="I59" s="109"/>
      <c r="J59" s="109">
        <v>800000</v>
      </c>
      <c r="L59" s="109">
        <v>1300000</v>
      </c>
      <c r="M59" s="184">
        <v>0</v>
      </c>
    </row>
    <row r="60" spans="1:13">
      <c r="A60" s="46" t="s">
        <v>282</v>
      </c>
      <c r="B60" s="392">
        <f>1493800+99900</f>
        <v>1593700</v>
      </c>
      <c r="C60" s="392"/>
      <c r="I60" s="109"/>
      <c r="J60" s="109">
        <v>1200000</v>
      </c>
      <c r="L60" s="109">
        <v>2000000</v>
      </c>
      <c r="M60" s="183">
        <f>SUM(M57:M59)</f>
        <v>23802366.780000001</v>
      </c>
    </row>
    <row r="61" spans="1:13">
      <c r="A61" s="46" t="s">
        <v>281</v>
      </c>
      <c r="B61" s="392">
        <v>1400000</v>
      </c>
      <c r="C61" s="392"/>
      <c r="I61" s="109"/>
      <c r="J61" s="109">
        <v>3500000</v>
      </c>
      <c r="L61" s="109">
        <v>150000</v>
      </c>
      <c r="M61" s="183">
        <v>24092226.780000001</v>
      </c>
    </row>
    <row r="62" spans="1:13">
      <c r="A62" s="46" t="s">
        <v>258</v>
      </c>
      <c r="B62" s="393">
        <v>1975000</v>
      </c>
      <c r="C62" s="393"/>
      <c r="I62" s="109">
        <v>100000</v>
      </c>
      <c r="J62" s="116">
        <f>SUM(J58:J61)</f>
        <v>13350000</v>
      </c>
      <c r="L62" s="109">
        <v>4590281.96</v>
      </c>
      <c r="M62" s="183">
        <f>M61-M60</f>
        <v>289860</v>
      </c>
    </row>
    <row r="63" spans="1:13">
      <c r="A63" s="46" t="s">
        <v>283</v>
      </c>
      <c r="B63" s="387">
        <v>1214184.3500000001</v>
      </c>
      <c r="C63" s="387"/>
      <c r="I63" s="109">
        <v>4589687.1100000003</v>
      </c>
      <c r="J63" s="109">
        <v>16829861.079999998</v>
      </c>
      <c r="L63" s="109">
        <f>SUM(L57:L62)</f>
        <v>9670281.9600000009</v>
      </c>
      <c r="M63" s="46"/>
    </row>
    <row r="64" spans="1:13">
      <c r="B64" s="388">
        <f>SUM(B60:C63)</f>
        <v>6182884.3499999996</v>
      </c>
      <c r="C64" s="388"/>
      <c r="I64" s="116">
        <f>SUM(I58:I63)</f>
        <v>4689687.1100000003</v>
      </c>
      <c r="J64" s="109">
        <f>J62-J63</f>
        <v>-3479861.0799999982</v>
      </c>
      <c r="M64" s="109">
        <v>24416573.030000001</v>
      </c>
    </row>
    <row r="65" spans="1:13">
      <c r="I65" s="109">
        <v>7212797.6100000003</v>
      </c>
      <c r="M65" s="109">
        <v>24708913.030000001</v>
      </c>
    </row>
    <row r="66" spans="1:13">
      <c r="I66" s="109">
        <f>I64-I65</f>
        <v>-2523110.5</v>
      </c>
      <c r="M66" s="109">
        <f>M64-M65</f>
        <v>-292340</v>
      </c>
    </row>
    <row r="67" spans="1:13">
      <c r="I67" s="109"/>
      <c r="M67" s="109">
        <v>289860</v>
      </c>
    </row>
    <row r="68" spans="1:13">
      <c r="I68" s="109"/>
      <c r="J68" s="109">
        <v>25346381.800000001</v>
      </c>
      <c r="M68" s="173">
        <f>SUM(M66:M67)</f>
        <v>-2480</v>
      </c>
    </row>
    <row r="69" spans="1:13">
      <c r="I69" s="109"/>
      <c r="J69" s="109">
        <v>24042658.690000001</v>
      </c>
      <c r="M69" s="46"/>
    </row>
    <row r="70" spans="1:13">
      <c r="I70" s="109"/>
      <c r="J70" s="109">
        <f>J68-J69</f>
        <v>1303723.1099999994</v>
      </c>
      <c r="L70" s="109">
        <v>400000</v>
      </c>
      <c r="M70" s="46"/>
    </row>
    <row r="71" spans="1:13">
      <c r="I71" s="109"/>
      <c r="L71" s="109">
        <v>1000000</v>
      </c>
      <c r="M71" s="109">
        <v>25279.7</v>
      </c>
    </row>
    <row r="72" spans="1:13">
      <c r="I72" s="109"/>
      <c r="M72" s="109">
        <v>27759.7</v>
      </c>
    </row>
    <row r="73" spans="1:13">
      <c r="H73" s="109"/>
      <c r="I73" s="109"/>
      <c r="M73" s="173">
        <f>M71-M72</f>
        <v>-2480</v>
      </c>
    </row>
    <row r="74" spans="1:13">
      <c r="H74" s="109">
        <v>4455551.57</v>
      </c>
      <c r="I74" s="109"/>
      <c r="J74" s="109">
        <v>17496381.800000001</v>
      </c>
      <c r="M74" s="46"/>
    </row>
    <row r="75" spans="1:13">
      <c r="H75" s="109">
        <v>5760963.6399999997</v>
      </c>
      <c r="I75" s="109"/>
      <c r="J75" s="109">
        <v>7850000</v>
      </c>
      <c r="M75" s="46"/>
    </row>
    <row r="76" spans="1:13">
      <c r="H76" s="109">
        <f>SUM(H74:H75)</f>
        <v>10216515.210000001</v>
      </c>
      <c r="I76" s="109"/>
      <c r="J76" s="109">
        <f>SUM(J74:J75)</f>
        <v>25346381.800000001</v>
      </c>
      <c r="M76" s="46"/>
    </row>
    <row r="77" spans="1:13" s="109" customFormat="1">
      <c r="A77" s="46"/>
      <c r="B77" s="46"/>
      <c r="C77" s="46"/>
      <c r="D77" s="46"/>
      <c r="E77" s="46"/>
      <c r="F77" s="46"/>
      <c r="G77" s="46"/>
    </row>
    <row r="78" spans="1:13" s="109" customFormat="1">
      <c r="A78" s="46"/>
      <c r="B78" s="46"/>
      <c r="C78" s="46"/>
      <c r="D78" s="46"/>
      <c r="E78" s="46"/>
      <c r="F78" s="46"/>
      <c r="G78" s="46"/>
    </row>
    <row r="79" spans="1:13" s="109" customFormat="1">
      <c r="A79" s="46"/>
      <c r="B79" s="46"/>
      <c r="C79" s="46"/>
      <c r="D79" s="46"/>
      <c r="E79" s="46"/>
      <c r="F79" s="46"/>
      <c r="G79" s="46"/>
    </row>
    <row r="80" spans="1:13" s="109" customFormat="1">
      <c r="A80" s="46"/>
      <c r="B80" s="46"/>
      <c r="C80" s="46"/>
      <c r="D80" s="46"/>
      <c r="E80" s="46"/>
      <c r="F80" s="46"/>
      <c r="G80" s="46"/>
    </row>
    <row r="81" spans="1:11" s="109" customFormat="1">
      <c r="A81" s="46"/>
      <c r="B81" s="46"/>
      <c r="C81" s="46"/>
      <c r="D81" s="46"/>
      <c r="E81" s="46"/>
      <c r="F81" s="46"/>
      <c r="G81" s="46"/>
    </row>
    <row r="82" spans="1:11" s="109" customFormat="1">
      <c r="A82" s="46"/>
      <c r="B82" s="46"/>
      <c r="C82" s="46"/>
      <c r="D82" s="46"/>
      <c r="E82" s="46"/>
      <c r="F82" s="46"/>
      <c r="G82" s="46"/>
    </row>
    <row r="83" spans="1:11" s="109" customFormat="1">
      <c r="A83" s="46"/>
      <c r="B83" s="46"/>
      <c r="C83" s="46"/>
      <c r="D83" s="46"/>
      <c r="E83" s="46"/>
      <c r="F83" s="46"/>
      <c r="G83" s="46"/>
      <c r="H83" s="46"/>
    </row>
    <row r="84" spans="1:11" s="109" customFormat="1">
      <c r="A84" s="46"/>
      <c r="B84" s="46"/>
      <c r="C84" s="46"/>
      <c r="D84" s="46"/>
      <c r="E84" s="46"/>
      <c r="F84" s="46"/>
      <c r="G84" s="46"/>
      <c r="H84" s="46"/>
    </row>
    <row r="85" spans="1:11" s="109" customFormat="1">
      <c r="A85" s="46"/>
      <c r="B85" s="46"/>
      <c r="C85" s="46"/>
      <c r="D85" s="46"/>
      <c r="E85" s="46"/>
      <c r="F85" s="46"/>
      <c r="G85" s="46"/>
      <c r="H85" s="46"/>
    </row>
    <row r="86" spans="1:11" s="109" customFormat="1">
      <c r="A86" s="46"/>
      <c r="B86" s="46"/>
      <c r="C86" s="46"/>
      <c r="D86" s="46"/>
      <c r="E86" s="46"/>
      <c r="F86" s="46"/>
      <c r="G86" s="46"/>
      <c r="H86" s="46"/>
    </row>
    <row r="87" spans="1:11" s="109" customFormat="1">
      <c r="A87" s="46"/>
      <c r="B87" s="46"/>
      <c r="C87" s="46"/>
      <c r="D87" s="46"/>
      <c r="E87" s="46"/>
      <c r="F87" s="46"/>
      <c r="G87" s="46"/>
      <c r="H87" s="46"/>
      <c r="K87" s="46"/>
    </row>
    <row r="88" spans="1:11" s="109" customFormat="1">
      <c r="A88" s="46"/>
      <c r="B88" s="46"/>
      <c r="C88" s="46"/>
      <c r="D88" s="46"/>
      <c r="E88" s="46"/>
      <c r="F88" s="46"/>
      <c r="G88" s="46"/>
      <c r="H88" s="46"/>
      <c r="K88" s="46"/>
    </row>
    <row r="89" spans="1:11" s="109" customFormat="1">
      <c r="A89" s="46"/>
      <c r="B89" s="46"/>
      <c r="C89" s="46"/>
      <c r="D89" s="46"/>
      <c r="E89" s="46"/>
      <c r="F89" s="46"/>
      <c r="G89" s="46"/>
      <c r="H89" s="46"/>
      <c r="K89" s="46"/>
    </row>
    <row r="90" spans="1:11" s="109" customFormat="1">
      <c r="A90" s="46"/>
      <c r="B90" s="46"/>
      <c r="C90" s="46"/>
      <c r="D90" s="46"/>
      <c r="E90" s="46"/>
      <c r="F90" s="46"/>
      <c r="G90" s="46"/>
      <c r="H90" s="46"/>
      <c r="K90" s="46"/>
    </row>
    <row r="91" spans="1:11" s="109" customFormat="1">
      <c r="A91" s="46"/>
      <c r="B91" s="46"/>
      <c r="C91" s="46"/>
      <c r="D91" s="46"/>
      <c r="E91" s="46"/>
      <c r="F91" s="46"/>
      <c r="G91" s="46"/>
      <c r="H91" s="46"/>
      <c r="K91" s="46"/>
    </row>
    <row r="92" spans="1:11" s="109" customFormat="1">
      <c r="A92" s="46"/>
      <c r="B92" s="46"/>
      <c r="C92" s="46"/>
      <c r="D92" s="46"/>
      <c r="E92" s="46"/>
      <c r="F92" s="46"/>
      <c r="G92" s="46"/>
      <c r="H92" s="46"/>
      <c r="K92" s="46"/>
    </row>
    <row r="93" spans="1:11" s="109" customFormat="1">
      <c r="A93" s="46"/>
      <c r="B93" s="46"/>
      <c r="C93" s="46"/>
      <c r="D93" s="46"/>
      <c r="E93" s="46"/>
      <c r="F93" s="46"/>
      <c r="G93" s="46"/>
      <c r="H93" s="46"/>
      <c r="K93" s="46"/>
    </row>
    <row r="94" spans="1:11" s="109" customFormat="1">
      <c r="A94" s="46"/>
      <c r="B94" s="46"/>
      <c r="C94" s="46"/>
      <c r="D94" s="46"/>
      <c r="E94" s="46"/>
      <c r="F94" s="46"/>
      <c r="G94" s="46"/>
      <c r="H94" s="46"/>
      <c r="K94" s="46"/>
    </row>
    <row r="95" spans="1:11" s="109" customFormat="1">
      <c r="A95" s="46"/>
      <c r="B95" s="46"/>
      <c r="C95" s="46"/>
      <c r="D95" s="46"/>
      <c r="E95" s="46"/>
      <c r="F95" s="46"/>
      <c r="G95" s="46"/>
      <c r="H95" s="46"/>
      <c r="K95" s="46"/>
    </row>
    <row r="96" spans="1:11" s="109" customFormat="1">
      <c r="A96" s="46"/>
      <c r="B96" s="46"/>
      <c r="C96" s="46"/>
      <c r="D96" s="46"/>
      <c r="E96" s="46"/>
      <c r="F96" s="46"/>
      <c r="G96" s="46"/>
      <c r="H96" s="46"/>
      <c r="K96" s="46"/>
    </row>
    <row r="97" spans="1:11" s="109" customFormat="1">
      <c r="A97" s="46"/>
      <c r="B97" s="46"/>
      <c r="C97" s="46"/>
      <c r="D97" s="46"/>
      <c r="E97" s="46"/>
      <c r="F97" s="46"/>
      <c r="G97" s="46"/>
      <c r="H97" s="46"/>
      <c r="K97" s="46"/>
    </row>
    <row r="98" spans="1:11" s="109" customFormat="1">
      <c r="A98" s="46"/>
      <c r="B98" s="46"/>
      <c r="C98" s="46"/>
      <c r="D98" s="46"/>
      <c r="E98" s="46"/>
      <c r="F98" s="46"/>
      <c r="G98" s="46"/>
      <c r="H98" s="46"/>
      <c r="K98" s="46"/>
    </row>
    <row r="99" spans="1:11" s="109" customFormat="1">
      <c r="A99" s="46"/>
      <c r="B99" s="46"/>
      <c r="C99" s="46"/>
      <c r="D99" s="46"/>
      <c r="E99" s="46"/>
      <c r="F99" s="46"/>
      <c r="G99" s="46"/>
      <c r="H99" s="46"/>
      <c r="K99" s="46"/>
    </row>
  </sheetData>
  <mergeCells count="8">
    <mergeCell ref="B63:C63"/>
    <mergeCell ref="B64:C64"/>
    <mergeCell ref="A2:J2"/>
    <mergeCell ref="A3:J3"/>
    <mergeCell ref="A4:J4"/>
    <mergeCell ref="B60:C60"/>
    <mergeCell ref="B61:C61"/>
    <mergeCell ref="B62:C62"/>
  </mergeCells>
  <printOptions horizontalCentered="1"/>
  <pageMargins left="0.02" right="0.15" top="0.39" bottom="0.1" header="0.21" footer="0.1"/>
  <pageSetup scale="84" orientation="portrait" horizontalDpi="4294967294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N99"/>
  <sheetViews>
    <sheetView topLeftCell="A25" workbookViewId="0">
      <selection activeCell="E63" sqref="E63"/>
    </sheetView>
  </sheetViews>
  <sheetFormatPr defaultRowHeight="12.75"/>
  <cols>
    <col min="1" max="1" width="6" style="46" customWidth="1"/>
    <col min="2" max="3" width="9.140625" style="46"/>
    <col min="4" max="4" width="16.5703125" style="46" customWidth="1"/>
    <col min="5" max="6" width="13.85546875" style="46" customWidth="1"/>
    <col min="7" max="7" width="10" style="46" customWidth="1"/>
    <col min="8" max="8" width="11.5703125" style="46" customWidth="1"/>
    <col min="9" max="9" width="11.42578125" style="46" customWidth="1"/>
    <col min="10" max="10" width="13.28515625" style="109" customWidth="1"/>
    <col min="11" max="11" width="15.7109375" style="46" customWidth="1"/>
    <col min="12" max="12" width="16.85546875" style="109" customWidth="1"/>
    <col min="13" max="13" width="17" style="109" customWidth="1"/>
    <col min="14" max="14" width="17" style="46" customWidth="1"/>
    <col min="15" max="16384" width="9.140625" style="46"/>
  </cols>
  <sheetData>
    <row r="1" spans="1:13">
      <c r="A1" s="47"/>
      <c r="B1" s="48"/>
      <c r="C1" s="48"/>
      <c r="D1" s="48"/>
      <c r="E1" s="48"/>
      <c r="F1" s="48"/>
      <c r="G1" s="48"/>
      <c r="H1" s="48"/>
      <c r="I1" s="48"/>
      <c r="J1" s="169" t="s">
        <v>81</v>
      </c>
    </row>
    <row r="2" spans="1:13">
      <c r="A2" s="389" t="s">
        <v>80</v>
      </c>
      <c r="B2" s="390"/>
      <c r="C2" s="390"/>
      <c r="D2" s="390"/>
      <c r="E2" s="390"/>
      <c r="F2" s="390"/>
      <c r="G2" s="390"/>
      <c r="H2" s="390"/>
      <c r="I2" s="390"/>
      <c r="J2" s="391"/>
    </row>
    <row r="3" spans="1:13">
      <c r="A3" s="389" t="s">
        <v>296</v>
      </c>
      <c r="B3" s="390"/>
      <c r="C3" s="390"/>
      <c r="D3" s="390"/>
      <c r="E3" s="390"/>
      <c r="F3" s="390"/>
      <c r="G3" s="390"/>
      <c r="H3" s="390"/>
      <c r="I3" s="390"/>
      <c r="J3" s="391"/>
    </row>
    <row r="4" spans="1:13">
      <c r="A4" s="389"/>
      <c r="B4" s="390"/>
      <c r="C4" s="390"/>
      <c r="D4" s="390"/>
      <c r="E4" s="390"/>
      <c r="F4" s="390"/>
      <c r="G4" s="390"/>
      <c r="H4" s="390"/>
      <c r="I4" s="390"/>
      <c r="J4" s="391"/>
    </row>
    <row r="5" spans="1:13">
      <c r="A5" s="54" t="s">
        <v>77</v>
      </c>
      <c r="B5" s="307"/>
      <c r="C5" s="307"/>
      <c r="D5" s="307"/>
      <c r="E5" s="307"/>
      <c r="F5" s="307"/>
      <c r="G5" s="307"/>
      <c r="H5" s="307"/>
      <c r="I5" s="307"/>
      <c r="J5" s="170"/>
    </row>
    <row r="6" spans="1:13">
      <c r="A6" s="54" t="s">
        <v>76</v>
      </c>
      <c r="B6" s="55"/>
      <c r="C6" s="55"/>
      <c r="D6" s="55"/>
      <c r="E6" s="55"/>
      <c r="F6" s="55"/>
      <c r="G6" s="55"/>
      <c r="H6" s="55" t="s">
        <v>278</v>
      </c>
      <c r="I6" s="55"/>
      <c r="J6" s="171"/>
      <c r="K6" s="46" t="s">
        <v>210</v>
      </c>
    </row>
    <row r="7" spans="1:13">
      <c r="A7" s="47"/>
      <c r="B7" s="48"/>
      <c r="C7" s="48"/>
      <c r="D7" s="49"/>
      <c r="E7" s="88" t="s">
        <v>8</v>
      </c>
      <c r="F7" s="50"/>
      <c r="G7" s="52"/>
      <c r="H7" s="52"/>
      <c r="I7" s="53"/>
      <c r="J7" s="110"/>
    </row>
    <row r="8" spans="1:13">
      <c r="A8" s="54"/>
      <c r="B8" s="55"/>
      <c r="C8" s="55"/>
      <c r="D8" s="56"/>
      <c r="E8" s="306" t="s">
        <v>9</v>
      </c>
      <c r="F8" s="53"/>
      <c r="G8" s="59"/>
      <c r="H8" s="59"/>
      <c r="I8" s="58"/>
      <c r="J8" s="111"/>
    </row>
    <row r="9" spans="1:13">
      <c r="A9" s="61" t="s">
        <v>68</v>
      </c>
      <c r="B9" s="55"/>
      <c r="C9" s="55"/>
      <c r="D9" s="56"/>
      <c r="E9" s="306" t="s">
        <v>10</v>
      </c>
      <c r="F9" s="60" t="s">
        <v>12</v>
      </c>
      <c r="G9" s="60" t="s">
        <v>14</v>
      </c>
      <c r="H9" s="60" t="s">
        <v>20</v>
      </c>
      <c r="I9" s="60" t="s">
        <v>22</v>
      </c>
      <c r="J9" s="112" t="s">
        <v>24</v>
      </c>
    </row>
    <row r="10" spans="1:13">
      <c r="A10" s="54"/>
      <c r="B10" s="55"/>
      <c r="C10" s="55"/>
      <c r="D10" s="56"/>
      <c r="E10" s="306" t="s">
        <v>11</v>
      </c>
      <c r="F10" s="60" t="s">
        <v>13</v>
      </c>
      <c r="G10" s="59"/>
      <c r="H10" s="60" t="s">
        <v>21</v>
      </c>
      <c r="I10" s="60" t="s">
        <v>23</v>
      </c>
      <c r="J10" s="111"/>
    </row>
    <row r="11" spans="1:13">
      <c r="A11" s="62"/>
      <c r="B11" s="63"/>
      <c r="C11" s="63"/>
      <c r="D11" s="64"/>
      <c r="E11" s="65">
        <v>0.3</v>
      </c>
      <c r="F11" s="66">
        <v>0.7</v>
      </c>
      <c r="G11" s="59"/>
      <c r="H11" s="67"/>
      <c r="I11" s="68"/>
      <c r="J11" s="113"/>
    </row>
    <row r="12" spans="1:13" ht="18" customHeight="1">
      <c r="A12" s="70" t="s">
        <v>0</v>
      </c>
      <c r="B12" s="71"/>
      <c r="C12" s="71"/>
      <c r="D12" s="72"/>
      <c r="E12" s="51"/>
      <c r="F12" s="51"/>
      <c r="G12" s="51"/>
      <c r="H12" s="51"/>
      <c r="I12" s="51"/>
      <c r="J12" s="110"/>
      <c r="L12" s="308" t="s">
        <v>90</v>
      </c>
      <c r="M12" s="308" t="s">
        <v>89</v>
      </c>
    </row>
    <row r="13" spans="1:13" ht="18" customHeight="1">
      <c r="A13" s="73" t="s">
        <v>1</v>
      </c>
      <c r="B13" s="72"/>
      <c r="C13" s="72"/>
      <c r="D13" s="72"/>
      <c r="E13" s="94">
        <f>M19*0.3</f>
        <v>645483.52080000041</v>
      </c>
      <c r="F13" s="94">
        <f>M19*0.7</f>
        <v>1506128.2152000009</v>
      </c>
      <c r="G13" s="94"/>
      <c r="H13" s="94"/>
      <c r="I13" s="94"/>
      <c r="J13" s="114">
        <f>SUM(E13:I13)</f>
        <v>2151611.7360000014</v>
      </c>
      <c r="K13" s="175" t="e">
        <f>SUM(J13+#REF!+#REF!+#REF!+#REF!+#REF!+#REF!+#REF!+#REF!+#REF!+#REF!+#REF!)</f>
        <v>#REF!</v>
      </c>
      <c r="L13" s="109">
        <v>21367644.399999999</v>
      </c>
      <c r="M13" s="109">
        <v>4171566.4</v>
      </c>
    </row>
    <row r="14" spans="1:13" ht="18" customHeight="1">
      <c r="A14" s="73" t="s">
        <v>2</v>
      </c>
      <c r="B14" s="72"/>
      <c r="C14" s="72"/>
      <c r="D14" s="72"/>
      <c r="E14" s="102"/>
      <c r="F14" s="102"/>
      <c r="G14" s="102"/>
      <c r="H14" s="102"/>
      <c r="I14" s="102"/>
      <c r="J14" s="110"/>
      <c r="K14" s="117" t="s">
        <v>88</v>
      </c>
      <c r="L14" s="109">
        <v>9400000</v>
      </c>
      <c r="M14" s="109">
        <v>5637398.9699999997</v>
      </c>
    </row>
    <row r="15" spans="1:13" ht="18" customHeight="1">
      <c r="A15" s="75" t="s">
        <v>3</v>
      </c>
      <c r="B15" s="48"/>
      <c r="C15" s="48"/>
      <c r="D15" s="48"/>
      <c r="E15" s="102"/>
      <c r="F15" s="102"/>
      <c r="G15" s="102"/>
      <c r="H15" s="102"/>
      <c r="I15" s="102"/>
      <c r="J15" s="110"/>
      <c r="L15" s="116">
        <f>SUM(L13:L14)</f>
        <v>30767644.399999999</v>
      </c>
      <c r="M15" s="116">
        <f>SUM(M13:M14)</f>
        <v>9808965.3699999992</v>
      </c>
    </row>
    <row r="16" spans="1:13" ht="18" customHeight="1">
      <c r="A16" s="76" t="s">
        <v>78</v>
      </c>
      <c r="B16" s="55"/>
      <c r="C16" s="55"/>
      <c r="D16" s="55"/>
      <c r="E16" s="103"/>
      <c r="F16" s="103"/>
      <c r="G16" s="103"/>
      <c r="H16" s="103"/>
      <c r="I16" s="103"/>
      <c r="J16" s="113"/>
      <c r="K16" s="46">
        <v>11930281.960000001</v>
      </c>
    </row>
    <row r="17" spans="1:14" ht="18" customHeight="1">
      <c r="A17" s="77" t="s">
        <v>79</v>
      </c>
      <c r="B17" s="72"/>
      <c r="C17" s="72"/>
      <c r="D17" s="72"/>
      <c r="E17" s="94"/>
      <c r="F17" s="94"/>
      <c r="G17" s="94"/>
      <c r="H17" s="94"/>
      <c r="I17" s="94"/>
      <c r="J17" s="113">
        <f>SUM(E17:I17)</f>
        <v>0</v>
      </c>
      <c r="K17" s="173">
        <f>K16-J16</f>
        <v>11930281.960000001</v>
      </c>
      <c r="M17" s="109">
        <v>25936573.030000001</v>
      </c>
    </row>
    <row r="18" spans="1:14" ht="18" customHeight="1">
      <c r="A18" s="70" t="s">
        <v>7</v>
      </c>
      <c r="B18" s="72"/>
      <c r="C18" s="72"/>
      <c r="D18" s="72"/>
      <c r="E18" s="119">
        <f>SUM(E13:E17)</f>
        <v>645483.52080000041</v>
      </c>
      <c r="F18" s="119">
        <f t="shared" ref="F18:J18" si="0">SUM(F13:F17)</f>
        <v>1506128.2152000009</v>
      </c>
      <c r="G18" s="119">
        <f t="shared" si="0"/>
        <v>0</v>
      </c>
      <c r="H18" s="119">
        <f t="shared" si="0"/>
        <v>0</v>
      </c>
      <c r="I18" s="119">
        <f t="shared" si="0"/>
        <v>0</v>
      </c>
      <c r="J18" s="305">
        <f t="shared" si="0"/>
        <v>2151611.7360000014</v>
      </c>
      <c r="K18" s="166">
        <f t="shared" ref="K18:K45" si="1">SUM(E18:I18)</f>
        <v>2151611.7360000014</v>
      </c>
      <c r="L18" s="193" t="s">
        <v>171</v>
      </c>
      <c r="M18" s="192">
        <f>410041742.04-367009507.32</f>
        <v>43032234.720000029</v>
      </c>
    </row>
    <row r="19" spans="1:14" s="109" customFormat="1" ht="18" customHeight="1">
      <c r="A19" s="74" t="s">
        <v>99</v>
      </c>
      <c r="B19" s="72" t="s">
        <v>100</v>
      </c>
      <c r="C19" s="72"/>
      <c r="D19" s="72"/>
      <c r="E19" s="94">
        <f>SUM('DRRM Funds May2016'!E46)</f>
        <v>27199240.7498</v>
      </c>
      <c r="F19" s="94">
        <f>SUM('DRRM Funds May2016'!F46)</f>
        <v>25854921.126200002</v>
      </c>
      <c r="G19" s="94">
        <f>SUM('DRRM Funds May2016'!G46)</f>
        <v>0</v>
      </c>
      <c r="H19" s="94">
        <f>SUM('DRRM Funds May2016'!H46)</f>
        <v>0</v>
      </c>
      <c r="I19" s="94">
        <f>SUM('DRRM Funds May2016'!I46)</f>
        <v>0</v>
      </c>
      <c r="J19" s="94">
        <f>SUM('DRRM Funds May2016'!J46)</f>
        <v>53054161.875999995</v>
      </c>
      <c r="K19" s="166">
        <f t="shared" si="1"/>
        <v>53054161.876000002</v>
      </c>
      <c r="L19" s="194">
        <v>0.05</v>
      </c>
      <c r="M19" s="269">
        <f>M18*0.05</f>
        <v>2151611.7360000014</v>
      </c>
    </row>
    <row r="20" spans="1:14" s="109" customFormat="1" ht="18" customHeight="1">
      <c r="A20" s="70" t="s">
        <v>101</v>
      </c>
      <c r="B20" s="122"/>
      <c r="C20" s="72"/>
      <c r="D20" s="72"/>
      <c r="E20" s="119">
        <f>SUM(E18:E19)</f>
        <v>27844724.270600002</v>
      </c>
      <c r="F20" s="119">
        <f t="shared" ref="F20:J20" si="2">SUM(F18:F19)</f>
        <v>27361049.341400001</v>
      </c>
      <c r="G20" s="119">
        <f>SUM(G18:G19)</f>
        <v>0</v>
      </c>
      <c r="H20" s="119">
        <f t="shared" si="2"/>
        <v>0</v>
      </c>
      <c r="I20" s="119">
        <f t="shared" si="2"/>
        <v>0</v>
      </c>
      <c r="J20" s="119">
        <f t="shared" si="2"/>
        <v>55205773.611999996</v>
      </c>
      <c r="K20" s="166">
        <f t="shared" si="1"/>
        <v>55205773.612000003</v>
      </c>
    </row>
    <row r="21" spans="1:14" ht="18" customHeight="1">
      <c r="A21" s="70" t="s">
        <v>15</v>
      </c>
      <c r="B21" s="72"/>
      <c r="C21" s="72"/>
      <c r="D21" s="72"/>
      <c r="E21" s="94"/>
      <c r="F21" s="94"/>
      <c r="G21" s="94"/>
      <c r="H21" s="94"/>
      <c r="I21" s="94"/>
      <c r="J21" s="114"/>
      <c r="K21" s="166">
        <f t="shared" si="1"/>
        <v>0</v>
      </c>
      <c r="M21" s="109">
        <v>26972032.48</v>
      </c>
    </row>
    <row r="22" spans="1:14" ht="18" customHeight="1">
      <c r="A22" s="77" t="s">
        <v>206</v>
      </c>
      <c r="B22" s="263"/>
      <c r="C22" s="263"/>
      <c r="D22" s="263"/>
      <c r="E22" s="94"/>
      <c r="F22" s="292">
        <v>287800</v>
      </c>
      <c r="G22" s="94"/>
      <c r="H22" s="94"/>
      <c r="I22" s="94"/>
      <c r="J22" s="114">
        <f>SUM(E22:I22)</f>
        <v>287800</v>
      </c>
      <c r="K22" s="109" t="s">
        <v>226</v>
      </c>
    </row>
    <row r="23" spans="1:14" ht="18" customHeight="1">
      <c r="A23" s="77" t="s">
        <v>251</v>
      </c>
      <c r="B23" s="263"/>
      <c r="C23" s="263"/>
      <c r="D23" s="263"/>
      <c r="E23" s="94"/>
      <c r="F23" s="292"/>
      <c r="G23" s="94"/>
      <c r="H23" s="94"/>
      <c r="I23" s="94"/>
      <c r="J23" s="114">
        <f t="shared" ref="J23:J42" si="3">SUM(E23:I23)</f>
        <v>0</v>
      </c>
      <c r="K23" s="166">
        <f t="shared" si="1"/>
        <v>0</v>
      </c>
      <c r="L23" s="176">
        <f>518731460.56*0.05</f>
        <v>25936573.028000001</v>
      </c>
      <c r="M23" s="109">
        <v>125607.13</v>
      </c>
    </row>
    <row r="24" spans="1:14" ht="18" customHeight="1">
      <c r="A24" s="290" t="s">
        <v>229</v>
      </c>
      <c r="B24" s="291"/>
      <c r="C24" s="291"/>
      <c r="D24" s="291"/>
      <c r="E24" s="292"/>
      <c r="F24" s="292"/>
      <c r="G24" s="292"/>
      <c r="H24" s="292"/>
      <c r="I24" s="292"/>
      <c r="J24" s="114">
        <f t="shared" si="3"/>
        <v>0</v>
      </c>
      <c r="K24" s="166"/>
      <c r="L24" s="228"/>
    </row>
    <row r="25" spans="1:14" ht="18" customHeight="1">
      <c r="A25" s="290" t="s">
        <v>252</v>
      </c>
      <c r="B25" s="291"/>
      <c r="C25" s="291"/>
      <c r="D25" s="291"/>
      <c r="E25" s="292"/>
      <c r="F25" s="292">
        <f>47100+42950</f>
        <v>90050</v>
      </c>
      <c r="G25" s="292"/>
      <c r="H25" s="292"/>
      <c r="I25" s="292"/>
      <c r="J25" s="114">
        <f t="shared" si="3"/>
        <v>90050</v>
      </c>
      <c r="K25" s="109" t="s">
        <v>226</v>
      </c>
      <c r="M25" s="232" t="s">
        <v>236</v>
      </c>
    </row>
    <row r="26" spans="1:14" ht="18" customHeight="1">
      <c r="A26" s="290" t="s">
        <v>276</v>
      </c>
      <c r="B26" s="291"/>
      <c r="C26" s="291"/>
      <c r="D26" s="291"/>
      <c r="E26" s="292"/>
      <c r="F26" s="292"/>
      <c r="G26" s="292"/>
      <c r="H26" s="292"/>
      <c r="I26" s="292"/>
      <c r="J26" s="114">
        <f t="shared" si="3"/>
        <v>0</v>
      </c>
      <c r="K26" s="166">
        <f t="shared" si="1"/>
        <v>0</v>
      </c>
      <c r="M26" s="229">
        <v>275607.13</v>
      </c>
      <c r="N26" s="46" t="s">
        <v>230</v>
      </c>
    </row>
    <row r="27" spans="1:14" ht="18" customHeight="1">
      <c r="A27" s="293" t="s">
        <v>275</v>
      </c>
      <c r="B27" s="291"/>
      <c r="C27" s="291"/>
      <c r="D27" s="291"/>
      <c r="E27" s="292"/>
      <c r="F27" s="292"/>
      <c r="G27" s="292"/>
      <c r="H27" s="292"/>
      <c r="I27" s="292"/>
      <c r="J27" s="114">
        <f t="shared" si="3"/>
        <v>0</v>
      </c>
      <c r="K27" s="166">
        <f t="shared" si="1"/>
        <v>0</v>
      </c>
      <c r="M27" s="229">
        <v>695000</v>
      </c>
      <c r="N27" s="46" t="s">
        <v>232</v>
      </c>
    </row>
    <row r="28" spans="1:14" ht="18" customHeight="1">
      <c r="A28" s="290" t="s">
        <v>274</v>
      </c>
      <c r="B28" s="291"/>
      <c r="C28" s="291"/>
      <c r="D28" s="291"/>
      <c r="E28" s="292"/>
      <c r="F28" s="292"/>
      <c r="G28" s="292"/>
      <c r="H28" s="292"/>
      <c r="I28" s="292"/>
      <c r="J28" s="114">
        <f t="shared" si="3"/>
        <v>0</v>
      </c>
      <c r="K28" s="166">
        <f t="shared" si="1"/>
        <v>0</v>
      </c>
      <c r="M28" s="229">
        <v>1470000</v>
      </c>
      <c r="N28" s="46" t="s">
        <v>233</v>
      </c>
    </row>
    <row r="29" spans="1:14" ht="18" customHeight="1">
      <c r="A29" s="290" t="s">
        <v>227</v>
      </c>
      <c r="B29" s="291"/>
      <c r="C29" s="291"/>
      <c r="D29" s="291"/>
      <c r="E29" s="292"/>
      <c r="F29" s="292"/>
      <c r="G29" s="292"/>
      <c r="H29" s="292"/>
      <c r="I29" s="292"/>
      <c r="J29" s="114">
        <f t="shared" si="3"/>
        <v>0</v>
      </c>
      <c r="K29" s="166">
        <f t="shared" si="1"/>
        <v>0</v>
      </c>
      <c r="L29" s="308"/>
      <c r="M29" s="229">
        <v>3071228.76</v>
      </c>
      <c r="N29" s="46" t="s">
        <v>231</v>
      </c>
    </row>
    <row r="30" spans="1:14" ht="18" customHeight="1">
      <c r="A30" s="290" t="s">
        <v>273</v>
      </c>
      <c r="B30" s="291"/>
      <c r="C30" s="291"/>
      <c r="D30" s="291"/>
      <c r="E30" s="292"/>
      <c r="F30" s="292"/>
      <c r="G30" s="292"/>
      <c r="H30" s="292"/>
      <c r="I30" s="292"/>
      <c r="J30" s="114">
        <f t="shared" si="3"/>
        <v>0</v>
      </c>
      <c r="K30" s="166"/>
      <c r="L30" s="308"/>
      <c r="M30" s="229">
        <v>5009130</v>
      </c>
      <c r="N30" s="46" t="s">
        <v>234</v>
      </c>
    </row>
    <row r="31" spans="1:14" ht="18" customHeight="1">
      <c r="A31" s="290" t="s">
        <v>213</v>
      </c>
      <c r="B31" s="291"/>
      <c r="C31" s="291"/>
      <c r="D31" s="291"/>
      <c r="E31" s="292"/>
      <c r="F31" s="292"/>
      <c r="G31" s="292"/>
      <c r="H31" s="292"/>
      <c r="I31" s="292"/>
      <c r="J31" s="114">
        <f t="shared" si="3"/>
        <v>0</v>
      </c>
      <c r="K31" s="166"/>
      <c r="L31" s="308"/>
      <c r="M31" s="230">
        <v>1900100</v>
      </c>
      <c r="N31" s="46" t="s">
        <v>235</v>
      </c>
    </row>
    <row r="32" spans="1:14" ht="18" customHeight="1">
      <c r="A32" s="290" t="s">
        <v>250</v>
      </c>
      <c r="B32" s="291"/>
      <c r="C32" s="291"/>
      <c r="D32" s="291"/>
      <c r="E32" s="292"/>
      <c r="F32" s="292"/>
      <c r="G32" s="292"/>
      <c r="H32" s="292"/>
      <c r="I32" s="292"/>
      <c r="J32" s="114">
        <f t="shared" si="3"/>
        <v>0</v>
      </c>
      <c r="K32" s="166"/>
      <c r="L32" s="308"/>
      <c r="M32" s="289">
        <f>SUM(M26:M31)</f>
        <v>12421065.890000001</v>
      </c>
    </row>
    <row r="33" spans="1:13" ht="18" customHeight="1">
      <c r="A33" s="290" t="s">
        <v>214</v>
      </c>
      <c r="B33" s="291"/>
      <c r="C33" s="291"/>
      <c r="D33" s="291"/>
      <c r="E33" s="292"/>
      <c r="F33" s="292"/>
      <c r="G33" s="292"/>
      <c r="H33" s="292"/>
      <c r="I33" s="292"/>
      <c r="J33" s="114">
        <f t="shared" si="3"/>
        <v>0</v>
      </c>
      <c r="K33" s="227"/>
      <c r="L33" s="308"/>
    </row>
    <row r="34" spans="1:13" ht="18" customHeight="1">
      <c r="A34" s="290" t="s">
        <v>249</v>
      </c>
      <c r="B34" s="291"/>
      <c r="C34" s="291"/>
      <c r="D34" s="291"/>
      <c r="E34" s="292"/>
      <c r="F34" s="292">
        <v>323028.3</v>
      </c>
      <c r="G34" s="292"/>
      <c r="H34" s="292"/>
      <c r="I34" s="292"/>
      <c r="J34" s="114">
        <f t="shared" si="3"/>
        <v>323028.3</v>
      </c>
      <c r="K34" s="335">
        <v>30040</v>
      </c>
      <c r="L34" s="336" t="s">
        <v>308</v>
      </c>
    </row>
    <row r="35" spans="1:13" ht="18" customHeight="1">
      <c r="A35" s="290" t="s">
        <v>222</v>
      </c>
      <c r="B35" s="291"/>
      <c r="C35" s="291"/>
      <c r="D35" s="291"/>
      <c r="E35" s="292"/>
      <c r="F35" s="292"/>
      <c r="G35" s="292"/>
      <c r="H35" s="292"/>
      <c r="I35" s="292"/>
      <c r="J35" s="114">
        <f t="shared" si="3"/>
        <v>0</v>
      </c>
      <c r="K35" s="266"/>
    </row>
    <row r="36" spans="1:13" ht="18" customHeight="1">
      <c r="A36" s="290" t="s">
        <v>223</v>
      </c>
      <c r="B36" s="291"/>
      <c r="C36" s="291"/>
      <c r="D36" s="291"/>
      <c r="E36" s="292"/>
      <c r="F36" s="292"/>
      <c r="G36" s="292"/>
      <c r="H36" s="292"/>
      <c r="I36" s="292"/>
      <c r="J36" s="114">
        <f t="shared" si="3"/>
        <v>0</v>
      </c>
      <c r="K36" s="166"/>
    </row>
    <row r="37" spans="1:13" ht="18" customHeight="1">
      <c r="A37" s="290" t="s">
        <v>168</v>
      </c>
      <c r="B37" s="291"/>
      <c r="C37" s="291"/>
      <c r="D37" s="291"/>
      <c r="E37" s="292"/>
      <c r="F37" s="292"/>
      <c r="G37" s="292"/>
      <c r="H37" s="292"/>
      <c r="I37" s="292"/>
      <c r="J37" s="114">
        <f t="shared" si="3"/>
        <v>0</v>
      </c>
      <c r="K37" s="166"/>
    </row>
    <row r="38" spans="1:13" ht="18" customHeight="1">
      <c r="A38" s="290" t="s">
        <v>293</v>
      </c>
      <c r="B38" s="291"/>
      <c r="C38" s="291"/>
      <c r="D38" s="291"/>
      <c r="E38" s="292"/>
      <c r="F38" s="292"/>
      <c r="G38" s="292"/>
      <c r="H38" s="292"/>
      <c r="I38" s="292"/>
      <c r="J38" s="114">
        <f t="shared" si="3"/>
        <v>0</v>
      </c>
      <c r="K38" s="166"/>
    </row>
    <row r="39" spans="1:13" ht="18" customHeight="1">
      <c r="A39" s="290" t="s">
        <v>207</v>
      </c>
      <c r="B39" s="291"/>
      <c r="C39" s="291"/>
      <c r="D39" s="291"/>
      <c r="E39" s="292"/>
      <c r="F39" s="292">
        <f>2860+524300</f>
        <v>527160</v>
      </c>
      <c r="G39" s="292"/>
      <c r="H39" s="292"/>
      <c r="I39" s="292"/>
      <c r="J39" s="114">
        <f t="shared" si="3"/>
        <v>527160</v>
      </c>
      <c r="K39" s="334">
        <v>524300</v>
      </c>
      <c r="L39" s="109" t="s">
        <v>226</v>
      </c>
    </row>
    <row r="40" spans="1:13" ht="18" customHeight="1">
      <c r="A40" s="83" t="s">
        <v>94</v>
      </c>
      <c r="B40" s="263"/>
      <c r="C40" s="263"/>
      <c r="D40" s="263"/>
      <c r="E40" s="94"/>
      <c r="F40" s="94"/>
      <c r="G40" s="94"/>
      <c r="H40" s="94"/>
      <c r="I40" s="94"/>
      <c r="J40" s="114">
        <f t="shared" si="3"/>
        <v>0</v>
      </c>
      <c r="K40" s="334">
        <v>2860</v>
      </c>
      <c r="L40" s="109" t="s">
        <v>307</v>
      </c>
    </row>
    <row r="41" spans="1:13" ht="18" customHeight="1">
      <c r="A41" s="83" t="s">
        <v>95</v>
      </c>
      <c r="B41" s="263"/>
      <c r="C41" s="263"/>
      <c r="D41" s="263"/>
      <c r="E41" s="94"/>
      <c r="F41" s="94"/>
      <c r="G41" s="94"/>
      <c r="H41" s="94"/>
      <c r="I41" s="94"/>
      <c r="J41" s="114">
        <f t="shared" si="3"/>
        <v>0</v>
      </c>
      <c r="K41" s="166">
        <f t="shared" si="1"/>
        <v>0</v>
      </c>
      <c r="L41" s="109">
        <v>204055</v>
      </c>
    </row>
    <row r="42" spans="1:13" ht="18" customHeight="1">
      <c r="A42" s="77" t="s">
        <v>96</v>
      </c>
      <c r="B42" s="263"/>
      <c r="C42" s="263"/>
      <c r="D42" s="263"/>
      <c r="E42" s="94"/>
      <c r="F42" s="102"/>
      <c r="G42" s="94"/>
      <c r="H42" s="94"/>
      <c r="I42" s="94"/>
      <c r="J42" s="114">
        <f t="shared" si="3"/>
        <v>0</v>
      </c>
      <c r="K42" s="166">
        <f t="shared" si="1"/>
        <v>0</v>
      </c>
      <c r="L42" s="109">
        <v>71070</v>
      </c>
    </row>
    <row r="43" spans="1:13" ht="18" customHeight="1">
      <c r="A43" s="84" t="s">
        <v>92</v>
      </c>
      <c r="B43" s="63"/>
      <c r="C43" s="63"/>
      <c r="D43" s="63"/>
      <c r="E43" s="89">
        <f>SUM(E22:E42)</f>
        <v>0</v>
      </c>
      <c r="F43" s="303">
        <f t="shared" ref="F43:J43" si="4">SUM(F22:F42)</f>
        <v>1228038.3</v>
      </c>
      <c r="G43" s="304">
        <f>SUM(G22:G42)</f>
        <v>0</v>
      </c>
      <c r="H43" s="94">
        <f t="shared" si="4"/>
        <v>0</v>
      </c>
      <c r="I43" s="94">
        <f t="shared" si="4"/>
        <v>0</v>
      </c>
      <c r="J43" s="292">
        <f t="shared" si="4"/>
        <v>1228038.3</v>
      </c>
      <c r="K43" s="166">
        <f t="shared" si="1"/>
        <v>1228038.3</v>
      </c>
      <c r="L43" s="109">
        <v>27800</v>
      </c>
      <c r="M43" s="46"/>
    </row>
    <row r="44" spans="1:13" ht="18" customHeight="1">
      <c r="A44" s="84" t="s">
        <v>103</v>
      </c>
      <c r="B44" s="63"/>
      <c r="C44" s="63"/>
      <c r="D44" s="63"/>
      <c r="E44" s="103">
        <f>SUM('DRRM Funds May2016'!E45)</f>
        <v>0</v>
      </c>
      <c r="F44" s="103">
        <f>SUM('DRRM Funds May2016'!F45)</f>
        <v>7082353.6099999994</v>
      </c>
      <c r="G44" s="103">
        <f>SUM('DRRM Funds May2016'!G45)</f>
        <v>0</v>
      </c>
      <c r="H44" s="103">
        <f>SUM('DRRM Funds May2016'!H45)</f>
        <v>0</v>
      </c>
      <c r="I44" s="103">
        <f>SUM('DRRM Funds May2016'!I45)</f>
        <v>0</v>
      </c>
      <c r="J44" s="103">
        <f>SUM('DRRM Funds May2016'!J45)</f>
        <v>7082353.6099999994</v>
      </c>
      <c r="K44" s="166">
        <f t="shared" si="1"/>
        <v>7082353.6099999994</v>
      </c>
      <c r="L44" s="109">
        <v>126865</v>
      </c>
      <c r="M44" s="109">
        <f>SUM(E44:H44)</f>
        <v>7082353.6099999994</v>
      </c>
    </row>
    <row r="45" spans="1:13" ht="18" customHeight="1">
      <c r="A45" s="84" t="s">
        <v>104</v>
      </c>
      <c r="B45" s="63"/>
      <c r="C45" s="63"/>
      <c r="D45" s="63"/>
      <c r="E45" s="103">
        <f>SUM(E43:E44)</f>
        <v>0</v>
      </c>
      <c r="F45" s="103">
        <f t="shared" ref="F45:J45" si="5">SUM(F43:F44)</f>
        <v>8310391.9099999992</v>
      </c>
      <c r="G45" s="103">
        <f t="shared" si="5"/>
        <v>0</v>
      </c>
      <c r="H45" s="103">
        <f t="shared" si="5"/>
        <v>0</v>
      </c>
      <c r="I45" s="103">
        <f t="shared" si="5"/>
        <v>0</v>
      </c>
      <c r="J45" s="103">
        <f t="shared" si="5"/>
        <v>8310391.9099999992</v>
      </c>
      <c r="K45" s="166">
        <f t="shared" si="1"/>
        <v>8310391.9099999992</v>
      </c>
      <c r="L45" s="174">
        <f>SUM(L35:L44)</f>
        <v>429790</v>
      </c>
      <c r="M45" s="109">
        <v>10492358.970000001</v>
      </c>
    </row>
    <row r="46" spans="1:13" ht="18" customHeight="1">
      <c r="A46" s="70" t="s">
        <v>93</v>
      </c>
      <c r="B46" s="72"/>
      <c r="C46" s="72"/>
      <c r="D46" s="80"/>
      <c r="E46" s="231">
        <f t="shared" ref="E46:J46" si="6">E20-E43</f>
        <v>27844724.270600002</v>
      </c>
      <c r="F46" s="231">
        <f t="shared" si="6"/>
        <v>26133011.0414</v>
      </c>
      <c r="G46" s="231">
        <f>G20-G43</f>
        <v>0</v>
      </c>
      <c r="H46" s="231">
        <f t="shared" si="6"/>
        <v>0</v>
      </c>
      <c r="I46" s="231">
        <f t="shared" si="6"/>
        <v>0</v>
      </c>
      <c r="J46" s="231">
        <f t="shared" si="6"/>
        <v>53977735.311999999</v>
      </c>
      <c r="K46" s="166">
        <f>SUM(E46:I46)</f>
        <v>53977735.312000006</v>
      </c>
      <c r="L46" s="46"/>
      <c r="M46" s="109">
        <f>M45-L45</f>
        <v>10062568.970000001</v>
      </c>
    </row>
    <row r="47" spans="1:13" ht="18" customHeight="1">
      <c r="A47" s="55"/>
      <c r="B47" s="55"/>
      <c r="C47" s="55"/>
      <c r="D47" s="55"/>
      <c r="E47" s="55"/>
      <c r="F47" s="55"/>
      <c r="G47" s="55"/>
      <c r="H47" s="55"/>
      <c r="I47" s="55"/>
      <c r="J47" s="115" t="s">
        <v>74</v>
      </c>
      <c r="K47" s="92">
        <f>SUM(E46:F46)</f>
        <v>53977735.312000006</v>
      </c>
      <c r="M47" s="109">
        <v>0</v>
      </c>
    </row>
    <row r="48" spans="1:13">
      <c r="A48" s="55" t="s">
        <v>83</v>
      </c>
      <c r="B48" s="55"/>
      <c r="C48" s="55"/>
      <c r="D48" s="55"/>
      <c r="E48" s="55"/>
      <c r="F48" s="55"/>
      <c r="G48" s="55"/>
      <c r="H48" s="55" t="s">
        <v>29</v>
      </c>
      <c r="I48" s="55"/>
      <c r="J48" s="115"/>
      <c r="K48" s="55"/>
      <c r="L48" s="109">
        <v>752760</v>
      </c>
    </row>
    <row r="49" spans="1:13">
      <c r="A49" s="55"/>
      <c r="B49" s="55"/>
      <c r="C49" s="55"/>
      <c r="D49" s="55"/>
      <c r="E49" s="55"/>
      <c r="F49" s="55"/>
      <c r="G49" s="55"/>
      <c r="H49" s="55"/>
      <c r="I49" s="55"/>
      <c r="J49" s="115"/>
      <c r="K49" s="55"/>
      <c r="L49" s="109">
        <v>902075</v>
      </c>
    </row>
    <row r="50" spans="1:13">
      <c r="A50" s="82" t="s">
        <v>202</v>
      </c>
      <c r="B50" s="55"/>
      <c r="C50" s="55"/>
      <c r="D50" s="55"/>
      <c r="E50" s="55"/>
      <c r="F50" s="55"/>
      <c r="G50" s="55"/>
      <c r="H50" s="241" t="s">
        <v>194</v>
      </c>
      <c r="I50" s="55"/>
      <c r="J50" s="115"/>
      <c r="K50" s="55"/>
      <c r="L50" s="109">
        <v>504234.65</v>
      </c>
      <c r="M50" s="109">
        <v>8736531.7100000009</v>
      </c>
    </row>
    <row r="51" spans="1:13">
      <c r="A51" s="140" t="s">
        <v>287</v>
      </c>
      <c r="B51" s="55"/>
      <c r="C51" s="55"/>
      <c r="D51" s="55"/>
      <c r="E51" s="55"/>
      <c r="F51" s="55"/>
      <c r="G51" s="55"/>
      <c r="H51" s="140" t="s">
        <v>195</v>
      </c>
      <c r="I51" s="55"/>
      <c r="J51" s="115"/>
      <c r="K51" s="55"/>
      <c r="L51" s="109">
        <v>899145</v>
      </c>
      <c r="M51" s="109">
        <v>10140</v>
      </c>
    </row>
    <row r="52" spans="1:13">
      <c r="A52" s="55"/>
      <c r="B52" s="55"/>
      <c r="C52" s="55"/>
      <c r="D52" s="55"/>
      <c r="E52" s="121" t="s">
        <v>237</v>
      </c>
      <c r="F52" s="55"/>
      <c r="G52" s="55"/>
      <c r="H52" s="55"/>
      <c r="I52" s="55"/>
      <c r="J52" s="115"/>
      <c r="K52" s="55"/>
      <c r="L52" s="109">
        <v>1087927.3999999999</v>
      </c>
      <c r="M52" s="109">
        <f>SUM(M50:M51)</f>
        <v>8746671.7100000009</v>
      </c>
    </row>
    <row r="53" spans="1:13">
      <c r="A53" s="55"/>
      <c r="B53" s="55"/>
      <c r="C53" s="55"/>
      <c r="D53" s="55"/>
      <c r="E53" s="115"/>
      <c r="F53" s="55"/>
      <c r="G53" s="55"/>
      <c r="H53" s="55"/>
      <c r="I53" s="115"/>
      <c r="J53" s="115"/>
      <c r="K53" s="55"/>
      <c r="L53" s="109">
        <v>2896515.5</v>
      </c>
    </row>
    <row r="54" spans="1:13">
      <c r="A54" s="55"/>
      <c r="B54" s="55"/>
      <c r="C54" s="55"/>
      <c r="D54" s="55"/>
      <c r="E54" s="82" t="s">
        <v>149</v>
      </c>
      <c r="F54" s="55"/>
      <c r="G54" s="55"/>
      <c r="H54" s="55"/>
      <c r="I54" s="115"/>
      <c r="J54" s="115"/>
      <c r="K54" s="55"/>
    </row>
    <row r="55" spans="1:13">
      <c r="A55" s="55"/>
      <c r="B55" s="55"/>
      <c r="C55" s="55"/>
      <c r="D55" s="55"/>
      <c r="E55" s="55" t="s">
        <v>238</v>
      </c>
      <c r="F55" s="55"/>
      <c r="G55" s="55"/>
      <c r="H55" s="55"/>
      <c r="I55" s="115"/>
      <c r="J55" s="115"/>
      <c r="K55" s="55"/>
      <c r="L55" s="109">
        <v>120000</v>
      </c>
    </row>
    <row r="56" spans="1:13">
      <c r="I56" s="109"/>
      <c r="M56" s="46"/>
    </row>
    <row r="57" spans="1:13">
      <c r="F57" s="121"/>
      <c r="I57" s="109"/>
      <c r="K57" s="55"/>
      <c r="L57" s="115">
        <v>630000</v>
      </c>
      <c r="M57" s="183">
        <v>10644424.82</v>
      </c>
    </row>
    <row r="58" spans="1:13">
      <c r="B58" s="276" t="s">
        <v>236</v>
      </c>
      <c r="F58" s="115"/>
      <c r="I58" s="109"/>
      <c r="J58" s="109">
        <v>7850000</v>
      </c>
      <c r="L58" s="109">
        <v>1000000</v>
      </c>
      <c r="M58" s="183">
        <v>13157941.960000001</v>
      </c>
    </row>
    <row r="59" spans="1:13">
      <c r="I59" s="109"/>
      <c r="J59" s="109">
        <v>800000</v>
      </c>
      <c r="L59" s="109">
        <v>1300000</v>
      </c>
      <c r="M59" s="184">
        <v>0</v>
      </c>
    </row>
    <row r="60" spans="1:13">
      <c r="A60" s="46" t="s">
        <v>282</v>
      </c>
      <c r="B60" s="392">
        <f>1493800+99900</f>
        <v>1593700</v>
      </c>
      <c r="C60" s="392"/>
      <c r="I60" s="109"/>
      <c r="J60" s="109">
        <v>1200000</v>
      </c>
      <c r="L60" s="109">
        <v>2000000</v>
      </c>
      <c r="M60" s="183">
        <f>SUM(M57:M59)</f>
        <v>23802366.780000001</v>
      </c>
    </row>
    <row r="61" spans="1:13">
      <c r="A61" s="46" t="s">
        <v>281</v>
      </c>
      <c r="B61" s="392">
        <v>1400000</v>
      </c>
      <c r="C61" s="392"/>
      <c r="I61" s="109"/>
      <c r="J61" s="109">
        <v>3500000</v>
      </c>
      <c r="L61" s="109">
        <v>150000</v>
      </c>
      <c r="M61" s="183">
        <v>24092226.780000001</v>
      </c>
    </row>
    <row r="62" spans="1:13">
      <c r="A62" s="46" t="s">
        <v>258</v>
      </c>
      <c r="B62" s="393">
        <v>1975000</v>
      </c>
      <c r="C62" s="393"/>
      <c r="I62" s="109">
        <v>100000</v>
      </c>
      <c r="J62" s="116">
        <f>SUM(J58:J61)</f>
        <v>13350000</v>
      </c>
      <c r="L62" s="109">
        <v>4590281.96</v>
      </c>
      <c r="M62" s="183">
        <f>M61-M60</f>
        <v>289860</v>
      </c>
    </row>
    <row r="63" spans="1:13">
      <c r="A63" s="46" t="s">
        <v>283</v>
      </c>
      <c r="B63" s="387">
        <v>1214184.3500000001</v>
      </c>
      <c r="C63" s="387"/>
      <c r="I63" s="109">
        <v>4589687.1100000003</v>
      </c>
      <c r="J63" s="109">
        <v>16829861.079999998</v>
      </c>
      <c r="L63" s="109">
        <f>SUM(L57:L62)</f>
        <v>9670281.9600000009</v>
      </c>
      <c r="M63" s="46"/>
    </row>
    <row r="64" spans="1:13">
      <c r="B64" s="388">
        <f>SUM(B60:C63)</f>
        <v>6182884.3499999996</v>
      </c>
      <c r="C64" s="388"/>
      <c r="I64" s="116">
        <f>SUM(I58:I63)</f>
        <v>4689687.1100000003</v>
      </c>
      <c r="J64" s="109">
        <f>J62-J63</f>
        <v>-3479861.0799999982</v>
      </c>
      <c r="M64" s="109">
        <v>24416573.030000001</v>
      </c>
    </row>
    <row r="65" spans="1:13">
      <c r="I65" s="109">
        <v>7212797.6100000003</v>
      </c>
      <c r="M65" s="109">
        <v>24708913.030000001</v>
      </c>
    </row>
    <row r="66" spans="1:13">
      <c r="I66" s="109">
        <f>I64-I65</f>
        <v>-2523110.5</v>
      </c>
      <c r="M66" s="109">
        <f>M64-M65</f>
        <v>-292340</v>
      </c>
    </row>
    <row r="67" spans="1:13">
      <c r="I67" s="109"/>
      <c r="M67" s="109">
        <v>289860</v>
      </c>
    </row>
    <row r="68" spans="1:13">
      <c r="I68" s="109"/>
      <c r="J68" s="109">
        <v>25346381.800000001</v>
      </c>
      <c r="M68" s="173">
        <f>SUM(M66:M67)</f>
        <v>-2480</v>
      </c>
    </row>
    <row r="69" spans="1:13">
      <c r="I69" s="109"/>
      <c r="J69" s="109">
        <v>24042658.690000001</v>
      </c>
      <c r="M69" s="46"/>
    </row>
    <row r="70" spans="1:13">
      <c r="I70" s="109"/>
      <c r="J70" s="109">
        <f>J68-J69</f>
        <v>1303723.1099999994</v>
      </c>
      <c r="L70" s="109">
        <v>400000</v>
      </c>
      <c r="M70" s="46"/>
    </row>
    <row r="71" spans="1:13">
      <c r="I71" s="109"/>
      <c r="L71" s="109">
        <v>1000000</v>
      </c>
      <c r="M71" s="109">
        <v>25279.7</v>
      </c>
    </row>
    <row r="72" spans="1:13">
      <c r="I72" s="109"/>
      <c r="M72" s="109">
        <v>27759.7</v>
      </c>
    </row>
    <row r="73" spans="1:13">
      <c r="H73" s="109"/>
      <c r="I73" s="109"/>
      <c r="M73" s="173">
        <f>M71-M72</f>
        <v>-2480</v>
      </c>
    </row>
    <row r="74" spans="1:13">
      <c r="H74" s="109">
        <v>4455551.57</v>
      </c>
      <c r="I74" s="109"/>
      <c r="J74" s="109">
        <v>17496381.800000001</v>
      </c>
      <c r="M74" s="46"/>
    </row>
    <row r="75" spans="1:13">
      <c r="H75" s="109">
        <v>5760963.6399999997</v>
      </c>
      <c r="I75" s="109"/>
      <c r="J75" s="109">
        <v>7850000</v>
      </c>
      <c r="M75" s="46"/>
    </row>
    <row r="76" spans="1:13">
      <c r="H76" s="109">
        <f>SUM(H74:H75)</f>
        <v>10216515.210000001</v>
      </c>
      <c r="I76" s="109"/>
      <c r="J76" s="109">
        <f>SUM(J74:J75)</f>
        <v>25346381.800000001</v>
      </c>
      <c r="M76" s="46"/>
    </row>
    <row r="77" spans="1:13" s="109" customFormat="1">
      <c r="A77" s="46"/>
      <c r="B77" s="46"/>
      <c r="C77" s="46"/>
      <c r="D77" s="46"/>
      <c r="E77" s="46"/>
      <c r="F77" s="46"/>
      <c r="G77" s="46"/>
    </row>
    <row r="78" spans="1:13" s="109" customFormat="1">
      <c r="A78" s="46"/>
      <c r="B78" s="46"/>
      <c r="C78" s="46"/>
      <c r="D78" s="46"/>
      <c r="E78" s="46"/>
      <c r="F78" s="46"/>
      <c r="G78" s="46"/>
    </row>
    <row r="79" spans="1:13" s="109" customFormat="1">
      <c r="A79" s="46"/>
      <c r="B79" s="46"/>
      <c r="C79" s="46"/>
      <c r="D79" s="46"/>
      <c r="E79" s="46"/>
      <c r="F79" s="46"/>
      <c r="G79" s="46"/>
    </row>
    <row r="80" spans="1:13" s="109" customFormat="1">
      <c r="A80" s="46"/>
      <c r="B80" s="46"/>
      <c r="C80" s="46"/>
      <c r="D80" s="46"/>
      <c r="E80" s="46"/>
      <c r="F80" s="46"/>
      <c r="G80" s="46"/>
    </row>
    <row r="81" spans="1:11" s="109" customFormat="1">
      <c r="A81" s="46"/>
      <c r="B81" s="46"/>
      <c r="C81" s="46"/>
      <c r="D81" s="46"/>
      <c r="E81" s="46"/>
      <c r="F81" s="46"/>
      <c r="G81" s="46"/>
    </row>
    <row r="82" spans="1:11" s="109" customFormat="1">
      <c r="A82" s="46"/>
      <c r="B82" s="46"/>
      <c r="C82" s="46"/>
      <c r="D82" s="46"/>
      <c r="E82" s="46"/>
      <c r="F82" s="46"/>
      <c r="G82" s="46"/>
    </row>
    <row r="83" spans="1:11" s="109" customFormat="1">
      <c r="A83" s="46"/>
      <c r="B83" s="46"/>
      <c r="C83" s="46"/>
      <c r="D83" s="46"/>
      <c r="E83" s="46"/>
      <c r="F83" s="46"/>
      <c r="G83" s="46"/>
      <c r="H83" s="46"/>
    </row>
    <row r="84" spans="1:11" s="109" customFormat="1">
      <c r="A84" s="46"/>
      <c r="B84" s="46"/>
      <c r="C84" s="46"/>
      <c r="D84" s="46"/>
      <c r="E84" s="46"/>
      <c r="F84" s="46"/>
      <c r="G84" s="46"/>
      <c r="H84" s="46"/>
    </row>
    <row r="85" spans="1:11" s="109" customFormat="1">
      <c r="A85" s="46"/>
      <c r="B85" s="46"/>
      <c r="C85" s="46"/>
      <c r="D85" s="46"/>
      <c r="E85" s="46"/>
      <c r="F85" s="46"/>
      <c r="G85" s="46"/>
      <c r="H85" s="46"/>
    </row>
    <row r="86" spans="1:11" s="109" customFormat="1">
      <c r="A86" s="46"/>
      <c r="B86" s="46"/>
      <c r="C86" s="46"/>
      <c r="D86" s="46"/>
      <c r="E86" s="46"/>
      <c r="F86" s="46"/>
      <c r="G86" s="46"/>
      <c r="H86" s="46"/>
    </row>
    <row r="87" spans="1:11" s="109" customFormat="1">
      <c r="A87" s="46"/>
      <c r="B87" s="46"/>
      <c r="C87" s="46"/>
      <c r="D87" s="46"/>
      <c r="E87" s="46"/>
      <c r="F87" s="46"/>
      <c r="G87" s="46"/>
      <c r="H87" s="46"/>
      <c r="K87" s="46"/>
    </row>
    <row r="88" spans="1:11" s="109" customFormat="1">
      <c r="A88" s="46"/>
      <c r="B88" s="46"/>
      <c r="C88" s="46"/>
      <c r="D88" s="46"/>
      <c r="E88" s="46"/>
      <c r="F88" s="46"/>
      <c r="G88" s="46"/>
      <c r="H88" s="46"/>
      <c r="K88" s="46"/>
    </row>
    <row r="89" spans="1:11" s="109" customFormat="1">
      <c r="A89" s="46"/>
      <c r="B89" s="46"/>
      <c r="C89" s="46"/>
      <c r="D89" s="46"/>
      <c r="E89" s="46"/>
      <c r="F89" s="46"/>
      <c r="G89" s="46"/>
      <c r="H89" s="46"/>
      <c r="K89" s="46"/>
    </row>
    <row r="90" spans="1:11" s="109" customFormat="1">
      <c r="A90" s="46"/>
      <c r="B90" s="46"/>
      <c r="C90" s="46"/>
      <c r="D90" s="46"/>
      <c r="E90" s="46"/>
      <c r="F90" s="46"/>
      <c r="G90" s="46"/>
      <c r="H90" s="46"/>
      <c r="K90" s="46"/>
    </row>
    <row r="91" spans="1:11" s="109" customFormat="1">
      <c r="A91" s="46"/>
      <c r="B91" s="46"/>
      <c r="C91" s="46"/>
      <c r="D91" s="46"/>
      <c r="E91" s="46"/>
      <c r="F91" s="46"/>
      <c r="G91" s="46"/>
      <c r="H91" s="46"/>
      <c r="K91" s="46"/>
    </row>
    <row r="92" spans="1:11" s="109" customFormat="1">
      <c r="A92" s="46"/>
      <c r="B92" s="46"/>
      <c r="C92" s="46"/>
      <c r="D92" s="46"/>
      <c r="E92" s="46"/>
      <c r="F92" s="46"/>
      <c r="G92" s="46"/>
      <c r="H92" s="46"/>
      <c r="K92" s="46"/>
    </row>
    <row r="93" spans="1:11" s="109" customFormat="1">
      <c r="A93" s="46"/>
      <c r="B93" s="46"/>
      <c r="C93" s="46"/>
      <c r="D93" s="46"/>
      <c r="E93" s="46"/>
      <c r="F93" s="46"/>
      <c r="G93" s="46"/>
      <c r="H93" s="46"/>
      <c r="K93" s="46"/>
    </row>
    <row r="94" spans="1:11" s="109" customFormat="1">
      <c r="A94" s="46"/>
      <c r="B94" s="46"/>
      <c r="C94" s="46"/>
      <c r="D94" s="46"/>
      <c r="E94" s="46"/>
      <c r="F94" s="46"/>
      <c r="G94" s="46"/>
      <c r="H94" s="46"/>
      <c r="K94" s="46"/>
    </row>
    <row r="95" spans="1:11" s="109" customFormat="1">
      <c r="A95" s="46"/>
      <c r="B95" s="46"/>
      <c r="C95" s="46"/>
      <c r="D95" s="46"/>
      <c r="E95" s="46"/>
      <c r="F95" s="46"/>
      <c r="G95" s="46"/>
      <c r="H95" s="46"/>
      <c r="K95" s="46"/>
    </row>
    <row r="96" spans="1:11" s="109" customFormat="1">
      <c r="A96" s="46"/>
      <c r="B96" s="46"/>
      <c r="C96" s="46"/>
      <c r="D96" s="46"/>
      <c r="E96" s="46"/>
      <c r="F96" s="46"/>
      <c r="G96" s="46"/>
      <c r="H96" s="46"/>
      <c r="K96" s="46"/>
    </row>
    <row r="97" spans="1:11" s="109" customFormat="1">
      <c r="A97" s="46"/>
      <c r="B97" s="46"/>
      <c r="C97" s="46"/>
      <c r="D97" s="46"/>
      <c r="E97" s="46"/>
      <c r="F97" s="46"/>
      <c r="G97" s="46"/>
      <c r="H97" s="46"/>
      <c r="K97" s="46"/>
    </row>
    <row r="98" spans="1:11" s="109" customFormat="1">
      <c r="A98" s="46"/>
      <c r="B98" s="46"/>
      <c r="C98" s="46"/>
      <c r="D98" s="46"/>
      <c r="E98" s="46"/>
      <c r="F98" s="46"/>
      <c r="G98" s="46"/>
      <c r="H98" s="46"/>
      <c r="K98" s="46"/>
    </row>
    <row r="99" spans="1:11" s="109" customFormat="1">
      <c r="A99" s="46"/>
      <c r="B99" s="46"/>
      <c r="C99" s="46"/>
      <c r="D99" s="46"/>
      <c r="E99" s="46"/>
      <c r="F99" s="46"/>
      <c r="G99" s="46"/>
      <c r="H99" s="46"/>
      <c r="K99" s="46"/>
    </row>
  </sheetData>
  <mergeCells count="8">
    <mergeCell ref="B63:C63"/>
    <mergeCell ref="B64:C64"/>
    <mergeCell ref="A2:J2"/>
    <mergeCell ref="A3:J3"/>
    <mergeCell ref="A4:J4"/>
    <mergeCell ref="B60:C60"/>
    <mergeCell ref="B61:C61"/>
    <mergeCell ref="B62:C62"/>
  </mergeCells>
  <printOptions horizontalCentered="1"/>
  <pageMargins left="0.02" right="0.15" top="0.39" bottom="0.1" header="0.21" footer="0.1"/>
  <pageSetup scale="84" orientation="portrait" horizontalDpi="4294967294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N99"/>
  <sheetViews>
    <sheetView topLeftCell="A28" workbookViewId="0">
      <selection activeCell="J43" sqref="J43"/>
    </sheetView>
  </sheetViews>
  <sheetFormatPr defaultRowHeight="12.75"/>
  <cols>
    <col min="1" max="1" width="6" style="46" customWidth="1"/>
    <col min="2" max="3" width="9.140625" style="46"/>
    <col min="4" max="4" width="16.5703125" style="46" customWidth="1"/>
    <col min="5" max="6" width="13.85546875" style="46" customWidth="1"/>
    <col min="7" max="7" width="10" style="46" customWidth="1"/>
    <col min="8" max="8" width="11.5703125" style="46" customWidth="1"/>
    <col min="9" max="9" width="11.42578125" style="46" customWidth="1"/>
    <col min="10" max="10" width="13.28515625" style="109" customWidth="1"/>
    <col min="11" max="11" width="15.7109375" style="46" customWidth="1"/>
    <col min="12" max="12" width="16.85546875" style="109" customWidth="1"/>
    <col min="13" max="13" width="17" style="109" customWidth="1"/>
    <col min="14" max="14" width="17" style="46" customWidth="1"/>
    <col min="15" max="16384" width="9.140625" style="46"/>
  </cols>
  <sheetData>
    <row r="1" spans="1:13">
      <c r="A1" s="47"/>
      <c r="B1" s="48"/>
      <c r="C1" s="48"/>
      <c r="D1" s="48"/>
      <c r="E1" s="48"/>
      <c r="F1" s="48"/>
      <c r="G1" s="48"/>
      <c r="H1" s="48"/>
      <c r="I1" s="48"/>
      <c r="J1" s="169" t="s">
        <v>81</v>
      </c>
    </row>
    <row r="2" spans="1:13">
      <c r="A2" s="389" t="s">
        <v>80</v>
      </c>
      <c r="B2" s="390"/>
      <c r="C2" s="390"/>
      <c r="D2" s="390"/>
      <c r="E2" s="390"/>
      <c r="F2" s="390"/>
      <c r="G2" s="390"/>
      <c r="H2" s="390"/>
      <c r="I2" s="390"/>
      <c r="J2" s="391"/>
    </row>
    <row r="3" spans="1:13">
      <c r="A3" s="389" t="s">
        <v>294</v>
      </c>
      <c r="B3" s="390"/>
      <c r="C3" s="390"/>
      <c r="D3" s="390"/>
      <c r="E3" s="390"/>
      <c r="F3" s="390"/>
      <c r="G3" s="390"/>
      <c r="H3" s="390"/>
      <c r="I3" s="390"/>
      <c r="J3" s="391"/>
    </row>
    <row r="4" spans="1:13">
      <c r="A4" s="389"/>
      <c r="B4" s="390"/>
      <c r="C4" s="390"/>
      <c r="D4" s="390"/>
      <c r="E4" s="390"/>
      <c r="F4" s="390"/>
      <c r="G4" s="390"/>
      <c r="H4" s="390"/>
      <c r="I4" s="390"/>
      <c r="J4" s="391"/>
    </row>
    <row r="5" spans="1:13">
      <c r="A5" s="54" t="s">
        <v>77</v>
      </c>
      <c r="B5" s="299"/>
      <c r="C5" s="299"/>
      <c r="D5" s="299"/>
      <c r="E5" s="299"/>
      <c r="F5" s="299"/>
      <c r="G5" s="299"/>
      <c r="H5" s="299"/>
      <c r="I5" s="299"/>
      <c r="J5" s="170"/>
    </row>
    <row r="6" spans="1:13">
      <c r="A6" s="54" t="s">
        <v>76</v>
      </c>
      <c r="B6" s="55"/>
      <c r="C6" s="55"/>
      <c r="D6" s="55"/>
      <c r="E6" s="55"/>
      <c r="F6" s="55"/>
      <c r="G6" s="55"/>
      <c r="H6" s="55" t="s">
        <v>278</v>
      </c>
      <c r="I6" s="55"/>
      <c r="J6" s="171"/>
      <c r="K6" s="46" t="s">
        <v>210</v>
      </c>
    </row>
    <row r="7" spans="1:13">
      <c r="A7" s="47"/>
      <c r="B7" s="48"/>
      <c r="C7" s="48"/>
      <c r="D7" s="49"/>
      <c r="E7" s="88" t="s">
        <v>8</v>
      </c>
      <c r="F7" s="50"/>
      <c r="G7" s="52"/>
      <c r="H7" s="52"/>
      <c r="I7" s="53"/>
      <c r="J7" s="110"/>
    </row>
    <row r="8" spans="1:13">
      <c r="A8" s="54"/>
      <c r="B8" s="55"/>
      <c r="C8" s="55"/>
      <c r="D8" s="56"/>
      <c r="E8" s="298" t="s">
        <v>9</v>
      </c>
      <c r="F8" s="53"/>
      <c r="G8" s="59"/>
      <c r="H8" s="59"/>
      <c r="I8" s="58"/>
      <c r="J8" s="111"/>
    </row>
    <row r="9" spans="1:13">
      <c r="A9" s="61" t="s">
        <v>68</v>
      </c>
      <c r="B9" s="55"/>
      <c r="C9" s="55"/>
      <c r="D9" s="56"/>
      <c r="E9" s="298" t="s">
        <v>10</v>
      </c>
      <c r="F9" s="60" t="s">
        <v>12</v>
      </c>
      <c r="G9" s="60" t="s">
        <v>14</v>
      </c>
      <c r="H9" s="60" t="s">
        <v>20</v>
      </c>
      <c r="I9" s="60" t="s">
        <v>22</v>
      </c>
      <c r="J9" s="112" t="s">
        <v>24</v>
      </c>
    </row>
    <row r="10" spans="1:13">
      <c r="A10" s="54"/>
      <c r="B10" s="55"/>
      <c r="C10" s="55"/>
      <c r="D10" s="56"/>
      <c r="E10" s="298" t="s">
        <v>11</v>
      </c>
      <c r="F10" s="60" t="s">
        <v>13</v>
      </c>
      <c r="G10" s="59"/>
      <c r="H10" s="60" t="s">
        <v>21</v>
      </c>
      <c r="I10" s="60" t="s">
        <v>23</v>
      </c>
      <c r="J10" s="111"/>
    </row>
    <row r="11" spans="1:13">
      <c r="A11" s="62"/>
      <c r="B11" s="63"/>
      <c r="C11" s="63"/>
      <c r="D11" s="64"/>
      <c r="E11" s="65">
        <v>0.3</v>
      </c>
      <c r="F11" s="66">
        <v>0.7</v>
      </c>
      <c r="G11" s="59"/>
      <c r="H11" s="67"/>
      <c r="I11" s="68"/>
      <c r="J11" s="113"/>
    </row>
    <row r="12" spans="1:13" ht="18" customHeight="1">
      <c r="A12" s="70" t="s">
        <v>0</v>
      </c>
      <c r="B12" s="71"/>
      <c r="C12" s="71"/>
      <c r="D12" s="72"/>
      <c r="E12" s="51"/>
      <c r="F12" s="51"/>
      <c r="G12" s="51"/>
      <c r="H12" s="51"/>
      <c r="I12" s="51"/>
      <c r="J12" s="110"/>
      <c r="L12" s="300" t="s">
        <v>90</v>
      </c>
      <c r="M12" s="300" t="s">
        <v>89</v>
      </c>
    </row>
    <row r="13" spans="1:13" ht="18" customHeight="1">
      <c r="A13" s="73" t="s">
        <v>1</v>
      </c>
      <c r="B13" s="72"/>
      <c r="C13" s="72"/>
      <c r="D13" s="72"/>
      <c r="E13" s="94">
        <f>M19*0.3</f>
        <v>595914.44895000011</v>
      </c>
      <c r="F13" s="94">
        <f>M19*0.7</f>
        <v>1390467.0475500003</v>
      </c>
      <c r="G13" s="94"/>
      <c r="H13" s="94"/>
      <c r="I13" s="94"/>
      <c r="J13" s="114">
        <f>SUM(E13:I13)</f>
        <v>1986381.4965000004</v>
      </c>
      <c r="K13" s="175" t="e">
        <f>SUM(J13+#REF!+#REF!+#REF!+#REF!+#REF!+#REF!+#REF!+#REF!+#REF!+#REF!+#REF!)</f>
        <v>#REF!</v>
      </c>
      <c r="L13" s="109">
        <v>21367644.399999999</v>
      </c>
      <c r="M13" s="109">
        <v>4171566.4</v>
      </c>
    </row>
    <row r="14" spans="1:13" ht="18" customHeight="1">
      <c r="A14" s="73" t="s">
        <v>2</v>
      </c>
      <c r="B14" s="72"/>
      <c r="C14" s="72"/>
      <c r="D14" s="72"/>
      <c r="E14" s="102"/>
      <c r="F14" s="102"/>
      <c r="G14" s="102"/>
      <c r="H14" s="102"/>
      <c r="I14" s="102"/>
      <c r="J14" s="110"/>
      <c r="K14" s="117" t="s">
        <v>88</v>
      </c>
      <c r="L14" s="109">
        <v>9400000</v>
      </c>
      <c r="M14" s="109">
        <v>5637398.9699999997</v>
      </c>
    </row>
    <row r="15" spans="1:13" ht="18" customHeight="1">
      <c r="A15" s="75" t="s">
        <v>3</v>
      </c>
      <c r="B15" s="48"/>
      <c r="C15" s="48"/>
      <c r="D15" s="48"/>
      <c r="E15" s="102"/>
      <c r="F15" s="102"/>
      <c r="G15" s="102"/>
      <c r="H15" s="102"/>
      <c r="I15" s="102"/>
      <c r="J15" s="110"/>
      <c r="L15" s="116">
        <f>SUM(L13:L14)</f>
        <v>30767644.399999999</v>
      </c>
      <c r="M15" s="116">
        <f>SUM(M13:M14)</f>
        <v>9808965.3699999992</v>
      </c>
    </row>
    <row r="16" spans="1:13" ht="18" customHeight="1">
      <c r="A16" s="76" t="s">
        <v>78</v>
      </c>
      <c r="B16" s="55"/>
      <c r="C16" s="55"/>
      <c r="D16" s="55"/>
      <c r="E16" s="103"/>
      <c r="F16" s="103"/>
      <c r="G16" s="103"/>
      <c r="H16" s="103"/>
      <c r="I16" s="103"/>
      <c r="J16" s="113"/>
      <c r="K16" s="46">
        <v>11930281.960000001</v>
      </c>
    </row>
    <row r="17" spans="1:14" ht="18" customHeight="1">
      <c r="A17" s="77" t="s">
        <v>79</v>
      </c>
      <c r="B17" s="72"/>
      <c r="C17" s="72"/>
      <c r="D17" s="72"/>
      <c r="E17" s="94"/>
      <c r="F17" s="94"/>
      <c r="G17" s="94"/>
      <c r="H17" s="94"/>
      <c r="I17" s="94"/>
      <c r="J17" s="113">
        <f>SUM(E17:I17)</f>
        <v>0</v>
      </c>
      <c r="K17" s="173">
        <f>K16-J16</f>
        <v>11930281.960000001</v>
      </c>
      <c r="M17" s="109">
        <v>25936573.030000001</v>
      </c>
    </row>
    <row r="18" spans="1:14" ht="18" customHeight="1">
      <c r="A18" s="70" t="s">
        <v>7</v>
      </c>
      <c r="B18" s="72"/>
      <c r="C18" s="72"/>
      <c r="D18" s="72"/>
      <c r="E18" s="119">
        <f>SUM(E13:E17)</f>
        <v>595914.44895000011</v>
      </c>
      <c r="F18" s="119">
        <f t="shared" ref="F18:J18" si="0">SUM(F13:F17)</f>
        <v>1390467.0475500003</v>
      </c>
      <c r="G18" s="119">
        <f t="shared" si="0"/>
        <v>0</v>
      </c>
      <c r="H18" s="119">
        <f t="shared" si="0"/>
        <v>0</v>
      </c>
      <c r="I18" s="119">
        <f t="shared" si="0"/>
        <v>0</v>
      </c>
      <c r="J18" s="305">
        <f t="shared" si="0"/>
        <v>1986381.4965000004</v>
      </c>
      <c r="K18" s="166">
        <f t="shared" ref="K18:K45" si="1">SUM(E18:I18)</f>
        <v>1986381.4965000004</v>
      </c>
      <c r="L18" s="193" t="s">
        <v>171</v>
      </c>
      <c r="M18" s="192">
        <f>367009507.32-327281877.39</f>
        <v>39727629.930000007</v>
      </c>
    </row>
    <row r="19" spans="1:14" s="109" customFormat="1" ht="18" customHeight="1">
      <c r="A19" s="74" t="s">
        <v>99</v>
      </c>
      <c r="B19" s="72" t="s">
        <v>100</v>
      </c>
      <c r="C19" s="72"/>
      <c r="D19" s="72"/>
      <c r="E19" s="94">
        <f>SUM('DRRM Funds Apr''2016'!E46)</f>
        <v>26603326.30085</v>
      </c>
      <c r="F19" s="94">
        <f>SUM('DRRM Funds Apr''2016'!F46)</f>
        <v>26283574.748650003</v>
      </c>
      <c r="G19" s="94">
        <f>SUM('DRRM Funds Apr''2016'!G46)</f>
        <v>0</v>
      </c>
      <c r="H19" s="94">
        <f>SUM('DRRM Funds Apr''2016'!H46)</f>
        <v>0</v>
      </c>
      <c r="I19" s="94">
        <f>SUM('DRRM Funds Apr''2016'!I46)</f>
        <v>0</v>
      </c>
      <c r="J19" s="94">
        <f>SUM('DRRM Funds Apr''2016'!J46)</f>
        <v>52886901.049499996</v>
      </c>
      <c r="K19" s="166">
        <f t="shared" si="1"/>
        <v>52886901.049500003</v>
      </c>
      <c r="L19" s="194">
        <v>0.05</v>
      </c>
      <c r="M19" s="269">
        <f>M18*0.05</f>
        <v>1986381.4965000004</v>
      </c>
    </row>
    <row r="20" spans="1:14" s="109" customFormat="1" ht="18" customHeight="1">
      <c r="A20" s="70" t="s">
        <v>101</v>
      </c>
      <c r="B20" s="122"/>
      <c r="C20" s="72"/>
      <c r="D20" s="72"/>
      <c r="E20" s="119">
        <f>SUM(E18:E19)</f>
        <v>27199240.7498</v>
      </c>
      <c r="F20" s="119">
        <f t="shared" ref="F20:J20" si="2">SUM(F18:F19)</f>
        <v>27674041.796200003</v>
      </c>
      <c r="G20" s="119">
        <f>SUM(G18:G19)</f>
        <v>0</v>
      </c>
      <c r="H20" s="119">
        <f t="shared" si="2"/>
        <v>0</v>
      </c>
      <c r="I20" s="119">
        <f t="shared" si="2"/>
        <v>0</v>
      </c>
      <c r="J20" s="119">
        <f t="shared" si="2"/>
        <v>54873282.545999996</v>
      </c>
      <c r="K20" s="166">
        <f t="shared" si="1"/>
        <v>54873282.546000004</v>
      </c>
    </row>
    <row r="21" spans="1:14" ht="18" customHeight="1">
      <c r="A21" s="70" t="s">
        <v>15</v>
      </c>
      <c r="B21" s="72"/>
      <c r="C21" s="72"/>
      <c r="D21" s="72"/>
      <c r="E21" s="94"/>
      <c r="F21" s="94"/>
      <c r="G21" s="94"/>
      <c r="H21" s="94"/>
      <c r="I21" s="94"/>
      <c r="J21" s="114"/>
      <c r="K21" s="166">
        <f t="shared" si="1"/>
        <v>0</v>
      </c>
      <c r="M21" s="109">
        <v>26972032.48</v>
      </c>
    </row>
    <row r="22" spans="1:14" ht="18" customHeight="1">
      <c r="A22" s="77" t="s">
        <v>206</v>
      </c>
      <c r="B22" s="263"/>
      <c r="C22" s="263"/>
      <c r="D22" s="263"/>
      <c r="E22" s="94"/>
      <c r="F22" s="94"/>
      <c r="G22" s="94"/>
      <c r="H22" s="94"/>
      <c r="I22" s="94"/>
      <c r="J22" s="114">
        <f>SUM(E22:I22)</f>
        <v>0</v>
      </c>
      <c r="K22" s="166"/>
    </row>
    <row r="23" spans="1:14" ht="18" customHeight="1">
      <c r="A23" s="77" t="s">
        <v>251</v>
      </c>
      <c r="B23" s="263"/>
      <c r="C23" s="263"/>
      <c r="D23" s="263"/>
      <c r="E23" s="94"/>
      <c r="F23" s="94">
        <v>880000</v>
      </c>
      <c r="G23" s="94"/>
      <c r="H23" s="94"/>
      <c r="I23" s="94"/>
      <c r="J23" s="114">
        <f t="shared" ref="J23:J42" si="3">SUM(E23:I23)</f>
        <v>880000</v>
      </c>
      <c r="K23" s="166">
        <f t="shared" si="1"/>
        <v>880000</v>
      </c>
      <c r="L23" s="176">
        <f>518731460.56*0.05</f>
        <v>25936573.028000001</v>
      </c>
      <c r="M23" s="109">
        <v>125607.13</v>
      </c>
    </row>
    <row r="24" spans="1:14" ht="18" customHeight="1">
      <c r="A24" s="290" t="s">
        <v>229</v>
      </c>
      <c r="B24" s="291"/>
      <c r="C24" s="291"/>
      <c r="D24" s="291"/>
      <c r="E24" s="292"/>
      <c r="F24" s="292">
        <v>15000</v>
      </c>
      <c r="G24" s="292"/>
      <c r="H24" s="292"/>
      <c r="I24" s="292"/>
      <c r="J24" s="114">
        <f t="shared" si="3"/>
        <v>15000</v>
      </c>
      <c r="K24" s="166"/>
      <c r="L24" s="228"/>
    </row>
    <row r="25" spans="1:14" ht="18" customHeight="1">
      <c r="A25" s="290" t="s">
        <v>252</v>
      </c>
      <c r="B25" s="291"/>
      <c r="C25" s="291"/>
      <c r="D25" s="291"/>
      <c r="E25" s="292"/>
      <c r="F25" s="292"/>
      <c r="G25" s="292"/>
      <c r="H25" s="292"/>
      <c r="I25" s="292"/>
      <c r="J25" s="114">
        <f t="shared" si="3"/>
        <v>0</v>
      </c>
      <c r="K25" s="166">
        <f t="shared" si="1"/>
        <v>0</v>
      </c>
      <c r="M25" s="232" t="s">
        <v>236</v>
      </c>
    </row>
    <row r="26" spans="1:14" ht="18" customHeight="1">
      <c r="A26" s="290" t="s">
        <v>276</v>
      </c>
      <c r="B26" s="291"/>
      <c r="C26" s="291"/>
      <c r="D26" s="291"/>
      <c r="E26" s="292"/>
      <c r="F26" s="292">
        <v>217420.57</v>
      </c>
      <c r="G26" s="292"/>
      <c r="H26" s="292"/>
      <c r="I26" s="292"/>
      <c r="J26" s="114">
        <f t="shared" si="3"/>
        <v>217420.57</v>
      </c>
      <c r="K26" s="166">
        <f t="shared" si="1"/>
        <v>217420.57</v>
      </c>
      <c r="M26" s="229">
        <v>275607.13</v>
      </c>
      <c r="N26" s="46" t="s">
        <v>230</v>
      </c>
    </row>
    <row r="27" spans="1:14" ht="18" customHeight="1">
      <c r="A27" s="293" t="s">
        <v>275</v>
      </c>
      <c r="B27" s="291"/>
      <c r="C27" s="291"/>
      <c r="D27" s="291"/>
      <c r="E27" s="292"/>
      <c r="F27" s="292">
        <v>230820</v>
      </c>
      <c r="G27" s="292"/>
      <c r="H27" s="292"/>
      <c r="I27" s="292"/>
      <c r="J27" s="114">
        <f t="shared" si="3"/>
        <v>230820</v>
      </c>
      <c r="K27" s="166">
        <f t="shared" si="1"/>
        <v>230820</v>
      </c>
      <c r="M27" s="229">
        <v>695000</v>
      </c>
      <c r="N27" s="46" t="s">
        <v>232</v>
      </c>
    </row>
    <row r="28" spans="1:14" ht="18" customHeight="1">
      <c r="A28" s="290" t="s">
        <v>274</v>
      </c>
      <c r="B28" s="291"/>
      <c r="C28" s="291"/>
      <c r="D28" s="291"/>
      <c r="E28" s="292"/>
      <c r="F28" s="292"/>
      <c r="G28" s="292"/>
      <c r="H28" s="292"/>
      <c r="I28" s="292"/>
      <c r="J28" s="114">
        <f t="shared" si="3"/>
        <v>0</v>
      </c>
      <c r="K28" s="166">
        <f t="shared" si="1"/>
        <v>0</v>
      </c>
      <c r="M28" s="229">
        <v>1470000</v>
      </c>
      <c r="N28" s="46" t="s">
        <v>233</v>
      </c>
    </row>
    <row r="29" spans="1:14" ht="18" customHeight="1">
      <c r="A29" s="290" t="s">
        <v>227</v>
      </c>
      <c r="B29" s="291"/>
      <c r="C29" s="291"/>
      <c r="D29" s="291"/>
      <c r="E29" s="292"/>
      <c r="F29" s="292"/>
      <c r="G29" s="292"/>
      <c r="H29" s="292"/>
      <c r="I29" s="292"/>
      <c r="J29" s="114">
        <f t="shared" si="3"/>
        <v>0</v>
      </c>
      <c r="K29" s="166">
        <f t="shared" si="1"/>
        <v>0</v>
      </c>
      <c r="L29" s="300"/>
      <c r="M29" s="229">
        <v>3071228.76</v>
      </c>
      <c r="N29" s="46" t="s">
        <v>231</v>
      </c>
    </row>
    <row r="30" spans="1:14" ht="18" customHeight="1">
      <c r="A30" s="290" t="s">
        <v>273</v>
      </c>
      <c r="B30" s="291"/>
      <c r="C30" s="291"/>
      <c r="D30" s="291"/>
      <c r="E30" s="292"/>
      <c r="F30" s="292"/>
      <c r="G30" s="292"/>
      <c r="H30" s="292"/>
      <c r="I30" s="292"/>
      <c r="J30" s="114">
        <f t="shared" si="3"/>
        <v>0</v>
      </c>
      <c r="K30" s="166"/>
      <c r="L30" s="300"/>
      <c r="M30" s="229">
        <v>5009130</v>
      </c>
      <c r="N30" s="46" t="s">
        <v>234</v>
      </c>
    </row>
    <row r="31" spans="1:14" ht="18" customHeight="1">
      <c r="A31" s="290" t="s">
        <v>213</v>
      </c>
      <c r="B31" s="291"/>
      <c r="C31" s="291"/>
      <c r="D31" s="291"/>
      <c r="E31" s="292"/>
      <c r="F31" s="292">
        <v>147000</v>
      </c>
      <c r="G31" s="292"/>
      <c r="H31" s="292"/>
      <c r="I31" s="292"/>
      <c r="J31" s="114">
        <f t="shared" si="3"/>
        <v>147000</v>
      </c>
      <c r="K31" s="166"/>
      <c r="L31" s="300"/>
      <c r="M31" s="230">
        <v>1900100</v>
      </c>
      <c r="N31" s="46" t="s">
        <v>235</v>
      </c>
    </row>
    <row r="32" spans="1:14" ht="18" customHeight="1">
      <c r="A32" s="290" t="s">
        <v>250</v>
      </c>
      <c r="B32" s="291"/>
      <c r="C32" s="291"/>
      <c r="D32" s="291"/>
      <c r="E32" s="292"/>
      <c r="F32" s="292">
        <v>50000</v>
      </c>
      <c r="G32" s="292"/>
      <c r="H32" s="292"/>
      <c r="I32" s="292"/>
      <c r="J32" s="114">
        <f t="shared" si="3"/>
        <v>50000</v>
      </c>
      <c r="K32" s="166"/>
      <c r="L32" s="300"/>
      <c r="M32" s="289">
        <f>SUM(M26:M31)</f>
        <v>12421065.890000001</v>
      </c>
    </row>
    <row r="33" spans="1:13" ht="18" customHeight="1">
      <c r="A33" s="290" t="s">
        <v>214</v>
      </c>
      <c r="B33" s="291"/>
      <c r="C33" s="291"/>
      <c r="D33" s="291"/>
      <c r="E33" s="292"/>
      <c r="F33" s="292">
        <f>149000.1+99500</f>
        <v>248500.1</v>
      </c>
      <c r="G33" s="292"/>
      <c r="H33" s="292"/>
      <c r="I33" s="292"/>
      <c r="J33" s="114">
        <f t="shared" si="3"/>
        <v>248500.1</v>
      </c>
      <c r="K33" s="227"/>
      <c r="L33" s="300"/>
    </row>
    <row r="34" spans="1:13" ht="18" customHeight="1">
      <c r="A34" s="290" t="s">
        <v>249</v>
      </c>
      <c r="B34" s="291"/>
      <c r="C34" s="291"/>
      <c r="D34" s="291"/>
      <c r="E34" s="292"/>
      <c r="F34" s="292"/>
      <c r="G34" s="292"/>
      <c r="H34" s="292"/>
      <c r="I34" s="292"/>
      <c r="J34" s="114">
        <f t="shared" si="3"/>
        <v>0</v>
      </c>
      <c r="K34" s="265"/>
      <c r="L34" s="300"/>
    </row>
    <row r="35" spans="1:13" ht="18" customHeight="1">
      <c r="A35" s="290" t="s">
        <v>222</v>
      </c>
      <c r="B35" s="291"/>
      <c r="C35" s="291"/>
      <c r="D35" s="291"/>
      <c r="E35" s="292"/>
      <c r="F35" s="292"/>
      <c r="G35" s="292"/>
      <c r="H35" s="292"/>
      <c r="I35" s="292"/>
      <c r="J35" s="114">
        <f t="shared" si="3"/>
        <v>0</v>
      </c>
      <c r="K35" s="266">
        <f t="shared" si="1"/>
        <v>0</v>
      </c>
      <c r="L35" s="109">
        <f>SUM(F29:F35)</f>
        <v>445500.1</v>
      </c>
    </row>
    <row r="36" spans="1:13" ht="18" customHeight="1">
      <c r="A36" s="290" t="s">
        <v>223</v>
      </c>
      <c r="B36" s="291"/>
      <c r="C36" s="291"/>
      <c r="D36" s="291"/>
      <c r="E36" s="292"/>
      <c r="F36" s="292"/>
      <c r="G36" s="292"/>
      <c r="H36" s="292"/>
      <c r="I36" s="292"/>
      <c r="J36" s="114">
        <f t="shared" si="3"/>
        <v>0</v>
      </c>
      <c r="K36" s="166">
        <f t="shared" si="1"/>
        <v>0</v>
      </c>
      <c r="L36" s="109">
        <v>147060</v>
      </c>
    </row>
    <row r="37" spans="1:13" ht="18" customHeight="1">
      <c r="A37" s="290" t="s">
        <v>168</v>
      </c>
      <c r="B37" s="291"/>
      <c r="C37" s="291"/>
      <c r="D37" s="291"/>
      <c r="E37" s="292"/>
      <c r="F37" s="292"/>
      <c r="G37" s="292"/>
      <c r="H37" s="292"/>
      <c r="I37" s="292"/>
      <c r="J37" s="114">
        <f t="shared" si="3"/>
        <v>0</v>
      </c>
      <c r="K37" s="166">
        <f t="shared" si="1"/>
        <v>0</v>
      </c>
    </row>
    <row r="38" spans="1:13" ht="18" customHeight="1">
      <c r="A38" s="290" t="s">
        <v>293</v>
      </c>
      <c r="B38" s="291"/>
      <c r="C38" s="291"/>
      <c r="D38" s="291"/>
      <c r="E38" s="292"/>
      <c r="F38" s="292"/>
      <c r="G38" s="292"/>
      <c r="H38" s="292"/>
      <c r="I38" s="292"/>
      <c r="J38" s="114">
        <f t="shared" si="3"/>
        <v>0</v>
      </c>
      <c r="K38" s="166">
        <f t="shared" si="1"/>
        <v>0</v>
      </c>
      <c r="L38" s="109">
        <v>1555500</v>
      </c>
    </row>
    <row r="39" spans="1:13" ht="18" customHeight="1">
      <c r="A39" s="290" t="s">
        <v>207</v>
      </c>
      <c r="B39" s="291"/>
      <c r="C39" s="291"/>
      <c r="D39" s="291"/>
      <c r="E39" s="292"/>
      <c r="F39" s="292">
        <v>30380</v>
      </c>
      <c r="G39" s="292"/>
      <c r="H39" s="292"/>
      <c r="I39" s="292"/>
      <c r="J39" s="114">
        <f t="shared" si="3"/>
        <v>30380</v>
      </c>
      <c r="K39" s="166"/>
    </row>
    <row r="40" spans="1:13" ht="18" customHeight="1">
      <c r="A40" s="83" t="s">
        <v>94</v>
      </c>
      <c r="B40" s="263"/>
      <c r="C40" s="263"/>
      <c r="D40" s="263"/>
      <c r="E40" s="94"/>
      <c r="F40" s="94"/>
      <c r="G40" s="94"/>
      <c r="H40" s="94"/>
      <c r="I40" s="94"/>
      <c r="J40" s="114">
        <f t="shared" si="3"/>
        <v>0</v>
      </c>
      <c r="K40" s="166">
        <f t="shared" si="1"/>
        <v>0</v>
      </c>
      <c r="L40" s="109">
        <v>177000</v>
      </c>
    </row>
    <row r="41" spans="1:13" ht="18" customHeight="1">
      <c r="A41" s="83" t="s">
        <v>95</v>
      </c>
      <c r="B41" s="263"/>
      <c r="C41" s="263"/>
      <c r="D41" s="263"/>
      <c r="E41" s="94"/>
      <c r="F41" s="94"/>
      <c r="G41" s="94"/>
      <c r="H41" s="94"/>
      <c r="I41" s="94"/>
      <c r="J41" s="114">
        <f t="shared" si="3"/>
        <v>0</v>
      </c>
      <c r="K41" s="166">
        <f t="shared" si="1"/>
        <v>0</v>
      </c>
      <c r="L41" s="109">
        <v>204055</v>
      </c>
    </row>
    <row r="42" spans="1:13" ht="18" customHeight="1">
      <c r="A42" s="77" t="s">
        <v>96</v>
      </c>
      <c r="B42" s="263"/>
      <c r="C42" s="263"/>
      <c r="D42" s="263"/>
      <c r="E42" s="94"/>
      <c r="F42" s="102"/>
      <c r="G42" s="94"/>
      <c r="H42" s="94"/>
      <c r="I42" s="94"/>
      <c r="J42" s="114">
        <f t="shared" si="3"/>
        <v>0</v>
      </c>
      <c r="K42" s="166">
        <f t="shared" si="1"/>
        <v>0</v>
      </c>
      <c r="L42" s="109">
        <v>71070</v>
      </c>
    </row>
    <row r="43" spans="1:13" ht="18" customHeight="1">
      <c r="A43" s="84" t="s">
        <v>92</v>
      </c>
      <c r="B43" s="63"/>
      <c r="C43" s="63"/>
      <c r="D43" s="63"/>
      <c r="E43" s="89">
        <f>SUM(E22:E42)</f>
        <v>0</v>
      </c>
      <c r="F43" s="303">
        <f t="shared" ref="F43:J43" si="4">SUM(F22:F42)</f>
        <v>1819120.6700000002</v>
      </c>
      <c r="G43" s="304">
        <f>SUM(G22:G42)</f>
        <v>0</v>
      </c>
      <c r="H43" s="94">
        <f t="shared" si="4"/>
        <v>0</v>
      </c>
      <c r="I43" s="94">
        <f t="shared" si="4"/>
        <v>0</v>
      </c>
      <c r="J43" s="301">
        <f t="shared" si="4"/>
        <v>1819120.6700000002</v>
      </c>
      <c r="K43" s="166">
        <f t="shared" si="1"/>
        <v>1819120.6700000002</v>
      </c>
      <c r="L43" s="109">
        <v>27800</v>
      </c>
      <c r="M43" s="46"/>
    </row>
    <row r="44" spans="1:13" ht="18" customHeight="1">
      <c r="A44" s="84" t="s">
        <v>103</v>
      </c>
      <c r="B44" s="63"/>
      <c r="C44" s="63"/>
      <c r="D44" s="63"/>
      <c r="E44" s="103">
        <f>SUM('DRRM Funds Apr''2016'!E45)</f>
        <v>0</v>
      </c>
      <c r="F44" s="103">
        <f>SUM('DRRM Funds Apr''2016'!F45)</f>
        <v>5263232.9399999995</v>
      </c>
      <c r="G44" s="103">
        <f>SUM('DRRM Funds Apr''2016'!G45)</f>
        <v>0</v>
      </c>
      <c r="H44" s="103">
        <f>SUM('DRRM Funds Apr''2016'!H45)</f>
        <v>0</v>
      </c>
      <c r="I44" s="103">
        <f>SUM('DRRM Funds Apr''2016'!I45)</f>
        <v>0</v>
      </c>
      <c r="J44" s="103">
        <f>SUM('DRRM Funds Apr''2016'!J45)</f>
        <v>5263232.9399999995</v>
      </c>
      <c r="K44" s="166">
        <f t="shared" si="1"/>
        <v>5263232.9399999995</v>
      </c>
      <c r="L44" s="109">
        <v>126865</v>
      </c>
      <c r="M44" s="109">
        <f>SUM(E44:H44)</f>
        <v>5263232.9399999995</v>
      </c>
    </row>
    <row r="45" spans="1:13" ht="18" customHeight="1">
      <c r="A45" s="84" t="s">
        <v>104</v>
      </c>
      <c r="B45" s="63"/>
      <c r="C45" s="63"/>
      <c r="D45" s="63"/>
      <c r="E45" s="103">
        <f>SUM(E43:E44)</f>
        <v>0</v>
      </c>
      <c r="F45" s="103">
        <f t="shared" ref="F45:J45" si="5">SUM(F43:F44)</f>
        <v>7082353.6099999994</v>
      </c>
      <c r="G45" s="103">
        <f t="shared" si="5"/>
        <v>0</v>
      </c>
      <c r="H45" s="103">
        <f t="shared" si="5"/>
        <v>0</v>
      </c>
      <c r="I45" s="103">
        <f t="shared" si="5"/>
        <v>0</v>
      </c>
      <c r="J45" s="103">
        <f t="shared" si="5"/>
        <v>7082353.6099999994</v>
      </c>
      <c r="K45" s="166">
        <f t="shared" si="1"/>
        <v>7082353.6099999994</v>
      </c>
      <c r="L45" s="174">
        <f>SUM(L35:L44)</f>
        <v>2754850.1</v>
      </c>
      <c r="M45" s="109">
        <v>10492358.970000001</v>
      </c>
    </row>
    <row r="46" spans="1:13" ht="18" customHeight="1">
      <c r="A46" s="70" t="s">
        <v>93</v>
      </c>
      <c r="B46" s="72"/>
      <c r="C46" s="72"/>
      <c r="D46" s="80"/>
      <c r="E46" s="231">
        <f t="shared" ref="E46:J46" si="6">E20-E43</f>
        <v>27199240.7498</v>
      </c>
      <c r="F46" s="231">
        <f t="shared" si="6"/>
        <v>25854921.126200002</v>
      </c>
      <c r="G46" s="231">
        <f>G20-G43</f>
        <v>0</v>
      </c>
      <c r="H46" s="231">
        <f t="shared" si="6"/>
        <v>0</v>
      </c>
      <c r="I46" s="231">
        <f t="shared" si="6"/>
        <v>0</v>
      </c>
      <c r="J46" s="231">
        <f t="shared" si="6"/>
        <v>53054161.875999995</v>
      </c>
      <c r="K46" s="166">
        <f>SUM(E46:I46)</f>
        <v>53054161.876000002</v>
      </c>
      <c r="L46" s="46"/>
      <c r="M46" s="109">
        <f>M45-L45</f>
        <v>7737508.870000001</v>
      </c>
    </row>
    <row r="47" spans="1:13" ht="18" customHeight="1">
      <c r="A47" s="55"/>
      <c r="B47" s="55"/>
      <c r="C47" s="55"/>
      <c r="D47" s="55"/>
      <c r="E47" s="55"/>
      <c r="F47" s="55"/>
      <c r="G47" s="55"/>
      <c r="H47" s="55"/>
      <c r="I47" s="55"/>
      <c r="J47" s="115" t="s">
        <v>74</v>
      </c>
      <c r="K47" s="92">
        <f>SUM(E46:F46)</f>
        <v>53054161.876000002</v>
      </c>
      <c r="M47" s="109">
        <v>0</v>
      </c>
    </row>
    <row r="48" spans="1:13">
      <c r="A48" s="55" t="s">
        <v>83</v>
      </c>
      <c r="B48" s="55"/>
      <c r="C48" s="55"/>
      <c r="D48" s="55"/>
      <c r="E48" s="55"/>
      <c r="F48" s="55"/>
      <c r="G48" s="55"/>
      <c r="H48" s="55" t="s">
        <v>29</v>
      </c>
      <c r="I48" s="55"/>
      <c r="J48" s="115"/>
      <c r="K48" s="55"/>
      <c r="L48" s="109">
        <v>752760</v>
      </c>
    </row>
    <row r="49" spans="1:13">
      <c r="A49" s="55"/>
      <c r="B49" s="55"/>
      <c r="C49" s="55"/>
      <c r="D49" s="55"/>
      <c r="E49" s="55"/>
      <c r="F49" s="55"/>
      <c r="G49" s="55"/>
      <c r="H49" s="55"/>
      <c r="I49" s="55"/>
      <c r="J49" s="115"/>
      <c r="K49" s="55"/>
      <c r="L49" s="109">
        <v>902075</v>
      </c>
    </row>
    <row r="50" spans="1:13">
      <c r="A50" s="82" t="s">
        <v>202</v>
      </c>
      <c r="B50" s="55"/>
      <c r="C50" s="55"/>
      <c r="D50" s="55"/>
      <c r="E50" s="55"/>
      <c r="F50" s="55"/>
      <c r="G50" s="55"/>
      <c r="H50" s="241" t="s">
        <v>194</v>
      </c>
      <c r="I50" s="55"/>
      <c r="J50" s="115"/>
      <c r="K50" s="55"/>
      <c r="L50" s="109">
        <v>504234.65</v>
      </c>
      <c r="M50" s="109">
        <v>8736531.7100000009</v>
      </c>
    </row>
    <row r="51" spans="1:13">
      <c r="A51" s="140" t="s">
        <v>287</v>
      </c>
      <c r="B51" s="55"/>
      <c r="C51" s="55"/>
      <c r="D51" s="55"/>
      <c r="E51" s="55"/>
      <c r="F51" s="55"/>
      <c r="G51" s="55"/>
      <c r="H51" s="140" t="s">
        <v>195</v>
      </c>
      <c r="I51" s="55"/>
      <c r="J51" s="115"/>
      <c r="K51" s="55"/>
      <c r="L51" s="109">
        <v>899145</v>
      </c>
      <c r="M51" s="109">
        <v>10140</v>
      </c>
    </row>
    <row r="52" spans="1:13">
      <c r="A52" s="55"/>
      <c r="B52" s="55"/>
      <c r="C52" s="55"/>
      <c r="D52" s="55"/>
      <c r="E52" s="121" t="s">
        <v>237</v>
      </c>
      <c r="F52" s="55"/>
      <c r="G52" s="55"/>
      <c r="H52" s="55"/>
      <c r="I52" s="55"/>
      <c r="J52" s="115"/>
      <c r="K52" s="55"/>
      <c r="L52" s="109">
        <v>1087927.3999999999</v>
      </c>
      <c r="M52" s="109">
        <f>SUM(M50:M51)</f>
        <v>8746671.7100000009</v>
      </c>
    </row>
    <row r="53" spans="1:13">
      <c r="A53" s="55"/>
      <c r="B53" s="55"/>
      <c r="C53" s="55"/>
      <c r="D53" s="55"/>
      <c r="E53" s="115"/>
      <c r="F53" s="55"/>
      <c r="G53" s="55"/>
      <c r="H53" s="55"/>
      <c r="I53" s="115"/>
      <c r="J53" s="115"/>
      <c r="K53" s="55"/>
      <c r="L53" s="109">
        <v>2896515.5</v>
      </c>
    </row>
    <row r="54" spans="1:13">
      <c r="A54" s="55"/>
      <c r="B54" s="55"/>
      <c r="C54" s="55"/>
      <c r="D54" s="55"/>
      <c r="E54" s="82" t="s">
        <v>149</v>
      </c>
      <c r="F54" s="55"/>
      <c r="G54" s="55"/>
      <c r="H54" s="55"/>
      <c r="I54" s="115"/>
      <c r="J54" s="115"/>
      <c r="K54" s="55"/>
    </row>
    <row r="55" spans="1:13">
      <c r="A55" s="55"/>
      <c r="B55" s="55"/>
      <c r="C55" s="55"/>
      <c r="D55" s="55"/>
      <c r="E55" s="55" t="s">
        <v>238</v>
      </c>
      <c r="F55" s="55"/>
      <c r="G55" s="55"/>
      <c r="H55" s="55"/>
      <c r="I55" s="115"/>
      <c r="J55" s="115"/>
      <c r="K55" s="55"/>
      <c r="L55" s="109">
        <v>120000</v>
      </c>
    </row>
    <row r="56" spans="1:13">
      <c r="I56" s="109"/>
      <c r="M56" s="46"/>
    </row>
    <row r="57" spans="1:13">
      <c r="F57" s="121"/>
      <c r="I57" s="109"/>
      <c r="K57" s="55"/>
      <c r="L57" s="115">
        <v>630000</v>
      </c>
      <c r="M57" s="183">
        <v>10644424.82</v>
      </c>
    </row>
    <row r="58" spans="1:13">
      <c r="B58" s="276" t="s">
        <v>236</v>
      </c>
      <c r="F58" s="115"/>
      <c r="I58" s="109"/>
      <c r="J58" s="109">
        <v>7850000</v>
      </c>
      <c r="L58" s="109">
        <v>1000000</v>
      </c>
      <c r="M58" s="183">
        <v>13157941.960000001</v>
      </c>
    </row>
    <row r="59" spans="1:13">
      <c r="I59" s="109"/>
      <c r="J59" s="109">
        <v>800000</v>
      </c>
      <c r="L59" s="109">
        <v>1300000</v>
      </c>
      <c r="M59" s="184">
        <v>0</v>
      </c>
    </row>
    <row r="60" spans="1:13">
      <c r="A60" s="46" t="s">
        <v>282</v>
      </c>
      <c r="B60" s="392">
        <f>1493800+99900</f>
        <v>1593700</v>
      </c>
      <c r="C60" s="392"/>
      <c r="I60" s="109"/>
      <c r="J60" s="109">
        <v>1200000</v>
      </c>
      <c r="L60" s="109">
        <v>2000000</v>
      </c>
      <c r="M60" s="183">
        <f>SUM(M57:M59)</f>
        <v>23802366.780000001</v>
      </c>
    </row>
    <row r="61" spans="1:13">
      <c r="A61" s="46" t="s">
        <v>281</v>
      </c>
      <c r="B61" s="392">
        <v>1400000</v>
      </c>
      <c r="C61" s="392"/>
      <c r="I61" s="109"/>
      <c r="J61" s="109">
        <v>3500000</v>
      </c>
      <c r="L61" s="109">
        <v>150000</v>
      </c>
      <c r="M61" s="183">
        <v>24092226.780000001</v>
      </c>
    </row>
    <row r="62" spans="1:13">
      <c r="A62" s="46" t="s">
        <v>258</v>
      </c>
      <c r="B62" s="393">
        <v>1975000</v>
      </c>
      <c r="C62" s="393"/>
      <c r="I62" s="109">
        <v>100000</v>
      </c>
      <c r="J62" s="116">
        <f>SUM(J58:J61)</f>
        <v>13350000</v>
      </c>
      <c r="L62" s="109">
        <v>4590281.96</v>
      </c>
      <c r="M62" s="183">
        <f>M61-M60</f>
        <v>289860</v>
      </c>
    </row>
    <row r="63" spans="1:13">
      <c r="A63" s="46" t="s">
        <v>283</v>
      </c>
      <c r="B63" s="387">
        <v>1214184.3500000001</v>
      </c>
      <c r="C63" s="387"/>
      <c r="I63" s="109">
        <v>4589687.1100000003</v>
      </c>
      <c r="J63" s="109">
        <v>16829861.079999998</v>
      </c>
      <c r="L63" s="109">
        <f>SUM(L57:L62)</f>
        <v>9670281.9600000009</v>
      </c>
      <c r="M63" s="46"/>
    </row>
    <row r="64" spans="1:13">
      <c r="B64" s="388">
        <f>SUM(B60:C63)</f>
        <v>6182884.3499999996</v>
      </c>
      <c r="C64" s="388"/>
      <c r="I64" s="116">
        <f>SUM(I58:I63)</f>
        <v>4689687.1100000003</v>
      </c>
      <c r="J64" s="109">
        <f>J62-J63</f>
        <v>-3479861.0799999982</v>
      </c>
      <c r="M64" s="109">
        <v>24416573.030000001</v>
      </c>
    </row>
    <row r="65" spans="1:13">
      <c r="I65" s="109">
        <v>7212797.6100000003</v>
      </c>
      <c r="M65" s="109">
        <v>24708913.030000001</v>
      </c>
    </row>
    <row r="66" spans="1:13">
      <c r="I66" s="109">
        <f>I64-I65</f>
        <v>-2523110.5</v>
      </c>
      <c r="M66" s="109">
        <f>M64-M65</f>
        <v>-292340</v>
      </c>
    </row>
    <row r="67" spans="1:13">
      <c r="I67" s="109"/>
      <c r="M67" s="109">
        <v>289860</v>
      </c>
    </row>
    <row r="68" spans="1:13">
      <c r="I68" s="109"/>
      <c r="J68" s="109">
        <v>25346381.800000001</v>
      </c>
      <c r="M68" s="173">
        <f>SUM(M66:M67)</f>
        <v>-2480</v>
      </c>
    </row>
    <row r="69" spans="1:13">
      <c r="I69" s="109"/>
      <c r="J69" s="109">
        <v>24042658.690000001</v>
      </c>
      <c r="M69" s="46"/>
    </row>
    <row r="70" spans="1:13">
      <c r="I70" s="109"/>
      <c r="J70" s="109">
        <f>J68-J69</f>
        <v>1303723.1099999994</v>
      </c>
      <c r="L70" s="109">
        <v>400000</v>
      </c>
      <c r="M70" s="46"/>
    </row>
    <row r="71" spans="1:13">
      <c r="I71" s="109"/>
      <c r="L71" s="109">
        <v>1000000</v>
      </c>
      <c r="M71" s="109">
        <v>25279.7</v>
      </c>
    </row>
    <row r="72" spans="1:13">
      <c r="I72" s="109"/>
      <c r="M72" s="109">
        <v>27759.7</v>
      </c>
    </row>
    <row r="73" spans="1:13">
      <c r="H73" s="109"/>
      <c r="I73" s="109"/>
      <c r="M73" s="173">
        <f>M71-M72</f>
        <v>-2480</v>
      </c>
    </row>
    <row r="74" spans="1:13">
      <c r="H74" s="109">
        <v>4455551.57</v>
      </c>
      <c r="I74" s="109"/>
      <c r="J74" s="109">
        <v>17496381.800000001</v>
      </c>
      <c r="M74" s="46"/>
    </row>
    <row r="75" spans="1:13">
      <c r="H75" s="109">
        <v>5760963.6399999997</v>
      </c>
      <c r="I75" s="109"/>
      <c r="J75" s="109">
        <v>7850000</v>
      </c>
      <c r="M75" s="46"/>
    </row>
    <row r="76" spans="1:13">
      <c r="H76" s="109">
        <f>SUM(H74:H75)</f>
        <v>10216515.210000001</v>
      </c>
      <c r="I76" s="109"/>
      <c r="J76" s="109">
        <f>SUM(J74:J75)</f>
        <v>25346381.800000001</v>
      </c>
      <c r="M76" s="46"/>
    </row>
    <row r="77" spans="1:13" s="109" customFormat="1">
      <c r="A77" s="46"/>
      <c r="B77" s="46"/>
      <c r="C77" s="46"/>
      <c r="D77" s="46"/>
      <c r="E77" s="46"/>
      <c r="F77" s="46"/>
      <c r="G77" s="46"/>
    </row>
    <row r="78" spans="1:13" s="109" customFormat="1">
      <c r="A78" s="46"/>
      <c r="B78" s="46"/>
      <c r="C78" s="46"/>
      <c r="D78" s="46"/>
      <c r="E78" s="46"/>
      <c r="F78" s="46"/>
      <c r="G78" s="46"/>
    </row>
    <row r="79" spans="1:13" s="109" customFormat="1">
      <c r="A79" s="46"/>
      <c r="B79" s="46"/>
      <c r="C79" s="46"/>
      <c r="D79" s="46"/>
      <c r="E79" s="46"/>
      <c r="F79" s="46"/>
      <c r="G79" s="46"/>
    </row>
    <row r="80" spans="1:13" s="109" customFormat="1">
      <c r="A80" s="46"/>
      <c r="B80" s="46"/>
      <c r="C80" s="46"/>
      <c r="D80" s="46"/>
      <c r="E80" s="46"/>
      <c r="F80" s="46"/>
      <c r="G80" s="46"/>
    </row>
    <row r="81" spans="1:11" s="109" customFormat="1">
      <c r="A81" s="46"/>
      <c r="B81" s="46"/>
      <c r="C81" s="46"/>
      <c r="D81" s="46"/>
      <c r="E81" s="46"/>
      <c r="F81" s="46"/>
      <c r="G81" s="46"/>
    </row>
    <row r="82" spans="1:11" s="109" customFormat="1">
      <c r="A82" s="46"/>
      <c r="B82" s="46"/>
      <c r="C82" s="46"/>
      <c r="D82" s="46"/>
      <c r="E82" s="46"/>
      <c r="F82" s="46"/>
      <c r="G82" s="46"/>
    </row>
    <row r="83" spans="1:11" s="109" customFormat="1">
      <c r="A83" s="46"/>
      <c r="B83" s="46"/>
      <c r="C83" s="46"/>
      <c r="D83" s="46"/>
      <c r="E83" s="46"/>
      <c r="F83" s="46"/>
      <c r="G83" s="46"/>
      <c r="H83" s="46"/>
    </row>
    <row r="84" spans="1:11" s="109" customFormat="1">
      <c r="A84" s="46"/>
      <c r="B84" s="46"/>
      <c r="C84" s="46"/>
      <c r="D84" s="46"/>
      <c r="E84" s="46"/>
      <c r="F84" s="46"/>
      <c r="G84" s="46"/>
      <c r="H84" s="46"/>
    </row>
    <row r="85" spans="1:11" s="109" customFormat="1">
      <c r="A85" s="46"/>
      <c r="B85" s="46"/>
      <c r="C85" s="46"/>
      <c r="D85" s="46"/>
      <c r="E85" s="46"/>
      <c r="F85" s="46"/>
      <c r="G85" s="46"/>
      <c r="H85" s="46"/>
    </row>
    <row r="86" spans="1:11" s="109" customFormat="1">
      <c r="A86" s="46"/>
      <c r="B86" s="46"/>
      <c r="C86" s="46"/>
      <c r="D86" s="46"/>
      <c r="E86" s="46"/>
      <c r="F86" s="46"/>
      <c r="G86" s="46"/>
      <c r="H86" s="46"/>
    </row>
    <row r="87" spans="1:11" s="109" customFormat="1">
      <c r="A87" s="46"/>
      <c r="B87" s="46"/>
      <c r="C87" s="46"/>
      <c r="D87" s="46"/>
      <c r="E87" s="46"/>
      <c r="F87" s="46"/>
      <c r="G87" s="46"/>
      <c r="H87" s="46"/>
      <c r="K87" s="46"/>
    </row>
    <row r="88" spans="1:11" s="109" customFormat="1">
      <c r="A88" s="46"/>
      <c r="B88" s="46"/>
      <c r="C88" s="46"/>
      <c r="D88" s="46"/>
      <c r="E88" s="46"/>
      <c r="F88" s="46"/>
      <c r="G88" s="46"/>
      <c r="H88" s="46"/>
      <c r="K88" s="46"/>
    </row>
    <row r="89" spans="1:11" s="109" customFormat="1">
      <c r="A89" s="46"/>
      <c r="B89" s="46"/>
      <c r="C89" s="46"/>
      <c r="D89" s="46"/>
      <c r="E89" s="46"/>
      <c r="F89" s="46"/>
      <c r="G89" s="46"/>
      <c r="H89" s="46"/>
      <c r="K89" s="46"/>
    </row>
    <row r="90" spans="1:11" s="109" customFormat="1">
      <c r="A90" s="46"/>
      <c r="B90" s="46"/>
      <c r="C90" s="46"/>
      <c r="D90" s="46"/>
      <c r="E90" s="46"/>
      <c r="F90" s="46"/>
      <c r="G90" s="46"/>
      <c r="H90" s="46"/>
      <c r="K90" s="46"/>
    </row>
    <row r="91" spans="1:11" s="109" customFormat="1">
      <c r="A91" s="46"/>
      <c r="B91" s="46"/>
      <c r="C91" s="46"/>
      <c r="D91" s="46"/>
      <c r="E91" s="46"/>
      <c r="F91" s="46"/>
      <c r="G91" s="46"/>
      <c r="H91" s="46"/>
      <c r="K91" s="46"/>
    </row>
    <row r="92" spans="1:11" s="109" customFormat="1">
      <c r="A92" s="46"/>
      <c r="B92" s="46"/>
      <c r="C92" s="46"/>
      <c r="D92" s="46"/>
      <c r="E92" s="46"/>
      <c r="F92" s="46"/>
      <c r="G92" s="46"/>
      <c r="H92" s="46"/>
      <c r="K92" s="46"/>
    </row>
    <row r="93" spans="1:11" s="109" customFormat="1">
      <c r="A93" s="46"/>
      <c r="B93" s="46"/>
      <c r="C93" s="46"/>
      <c r="D93" s="46"/>
      <c r="E93" s="46"/>
      <c r="F93" s="46"/>
      <c r="G93" s="46"/>
      <c r="H93" s="46"/>
      <c r="K93" s="46"/>
    </row>
    <row r="94" spans="1:11" s="109" customFormat="1">
      <c r="A94" s="46"/>
      <c r="B94" s="46"/>
      <c r="C94" s="46"/>
      <c r="D94" s="46"/>
      <c r="E94" s="46"/>
      <c r="F94" s="46"/>
      <c r="G94" s="46"/>
      <c r="H94" s="46"/>
      <c r="K94" s="46"/>
    </row>
    <row r="95" spans="1:11" s="109" customFormat="1">
      <c r="A95" s="46"/>
      <c r="B95" s="46"/>
      <c r="C95" s="46"/>
      <c r="D95" s="46"/>
      <c r="E95" s="46"/>
      <c r="F95" s="46"/>
      <c r="G95" s="46"/>
      <c r="H95" s="46"/>
      <c r="K95" s="46"/>
    </row>
    <row r="96" spans="1:11" s="109" customFormat="1">
      <c r="A96" s="46"/>
      <c r="B96" s="46"/>
      <c r="C96" s="46"/>
      <c r="D96" s="46"/>
      <c r="E96" s="46"/>
      <c r="F96" s="46"/>
      <c r="G96" s="46"/>
      <c r="H96" s="46"/>
      <c r="K96" s="46"/>
    </row>
    <row r="97" spans="1:11" s="109" customFormat="1">
      <c r="A97" s="46"/>
      <c r="B97" s="46"/>
      <c r="C97" s="46"/>
      <c r="D97" s="46"/>
      <c r="E97" s="46"/>
      <c r="F97" s="46"/>
      <c r="G97" s="46"/>
      <c r="H97" s="46"/>
      <c r="K97" s="46"/>
    </row>
    <row r="98" spans="1:11" s="109" customFormat="1">
      <c r="A98" s="46"/>
      <c r="B98" s="46"/>
      <c r="C98" s="46"/>
      <c r="D98" s="46"/>
      <c r="E98" s="46"/>
      <c r="F98" s="46"/>
      <c r="G98" s="46"/>
      <c r="H98" s="46"/>
      <c r="K98" s="46"/>
    </row>
    <row r="99" spans="1:11" s="109" customFormat="1">
      <c r="A99" s="46"/>
      <c r="B99" s="46"/>
      <c r="C99" s="46"/>
      <c r="D99" s="46"/>
      <c r="E99" s="46"/>
      <c r="F99" s="46"/>
      <c r="G99" s="46"/>
      <c r="H99" s="46"/>
      <c r="K99" s="46"/>
    </row>
  </sheetData>
  <mergeCells count="8">
    <mergeCell ref="B63:C63"/>
    <mergeCell ref="B64:C64"/>
    <mergeCell ref="A2:J2"/>
    <mergeCell ref="A3:J3"/>
    <mergeCell ref="A4:J4"/>
    <mergeCell ref="B60:C60"/>
    <mergeCell ref="B61:C61"/>
    <mergeCell ref="B62:C62"/>
  </mergeCells>
  <printOptions horizontalCentered="1"/>
  <pageMargins left="0.02" right="0.15" top="0.39" bottom="0.1" header="0.21" footer="0.1"/>
  <pageSetup scale="84" orientation="portrait" horizontalDpi="4294967294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N99"/>
  <sheetViews>
    <sheetView topLeftCell="A28" workbookViewId="0">
      <selection activeCell="J43" sqref="J43"/>
    </sheetView>
  </sheetViews>
  <sheetFormatPr defaultRowHeight="12.75"/>
  <cols>
    <col min="1" max="1" width="6" style="46" customWidth="1"/>
    <col min="2" max="3" width="9.140625" style="46"/>
    <col min="4" max="4" width="16.5703125" style="46" customWidth="1"/>
    <col min="5" max="6" width="13.85546875" style="46" customWidth="1"/>
    <col min="7" max="7" width="10" style="46" customWidth="1"/>
    <col min="8" max="8" width="11.5703125" style="46" customWidth="1"/>
    <col min="9" max="9" width="11.42578125" style="46" customWidth="1"/>
    <col min="10" max="10" width="13.28515625" style="109" customWidth="1"/>
    <col min="11" max="11" width="15.7109375" style="46" customWidth="1"/>
    <col min="12" max="12" width="16.85546875" style="109" customWidth="1"/>
    <col min="13" max="13" width="17" style="109" customWidth="1"/>
    <col min="14" max="14" width="17" style="46" customWidth="1"/>
    <col min="15" max="16384" width="9.140625" style="46"/>
  </cols>
  <sheetData>
    <row r="1" spans="1:13">
      <c r="A1" s="47"/>
      <c r="B1" s="48"/>
      <c r="C1" s="48"/>
      <c r="D1" s="48"/>
      <c r="E1" s="48"/>
      <c r="F1" s="48"/>
      <c r="G1" s="48"/>
      <c r="H1" s="48"/>
      <c r="I1" s="48"/>
      <c r="J1" s="169" t="s">
        <v>81</v>
      </c>
    </row>
    <row r="2" spans="1:13">
      <c r="A2" s="389" t="s">
        <v>80</v>
      </c>
      <c r="B2" s="390"/>
      <c r="C2" s="390"/>
      <c r="D2" s="390"/>
      <c r="E2" s="390"/>
      <c r="F2" s="390"/>
      <c r="G2" s="390"/>
      <c r="H2" s="390"/>
      <c r="I2" s="390"/>
      <c r="J2" s="391"/>
    </row>
    <row r="3" spans="1:13">
      <c r="A3" s="389" t="s">
        <v>292</v>
      </c>
      <c r="B3" s="390"/>
      <c r="C3" s="390"/>
      <c r="D3" s="390"/>
      <c r="E3" s="390"/>
      <c r="F3" s="390"/>
      <c r="G3" s="390"/>
      <c r="H3" s="390"/>
      <c r="I3" s="390"/>
      <c r="J3" s="391"/>
    </row>
    <row r="4" spans="1:13">
      <c r="A4" s="389"/>
      <c r="B4" s="390"/>
      <c r="C4" s="390"/>
      <c r="D4" s="390"/>
      <c r="E4" s="390"/>
      <c r="F4" s="390"/>
      <c r="G4" s="390"/>
      <c r="H4" s="390"/>
      <c r="I4" s="390"/>
      <c r="J4" s="391"/>
    </row>
    <row r="5" spans="1:13">
      <c r="A5" s="54" t="s">
        <v>77</v>
      </c>
      <c r="B5" s="296"/>
      <c r="C5" s="296"/>
      <c r="D5" s="296"/>
      <c r="E5" s="296"/>
      <c r="F5" s="296"/>
      <c r="G5" s="296"/>
      <c r="H5" s="296"/>
      <c r="I5" s="296"/>
      <c r="J5" s="170"/>
    </row>
    <row r="6" spans="1:13">
      <c r="A6" s="54" t="s">
        <v>76</v>
      </c>
      <c r="B6" s="55"/>
      <c r="C6" s="55"/>
      <c r="D6" s="55"/>
      <c r="E6" s="55"/>
      <c r="F6" s="55"/>
      <c r="G6" s="55"/>
      <c r="H6" s="55" t="s">
        <v>278</v>
      </c>
      <c r="I6" s="55"/>
      <c r="J6" s="171"/>
      <c r="K6" s="46" t="s">
        <v>210</v>
      </c>
    </row>
    <row r="7" spans="1:13">
      <c r="A7" s="47"/>
      <c r="B7" s="48"/>
      <c r="C7" s="48"/>
      <c r="D7" s="49"/>
      <c r="E7" s="88" t="s">
        <v>8</v>
      </c>
      <c r="F7" s="50"/>
      <c r="G7" s="52"/>
      <c r="H7" s="52"/>
      <c r="I7" s="53"/>
      <c r="J7" s="110"/>
    </row>
    <row r="8" spans="1:13">
      <c r="A8" s="54"/>
      <c r="B8" s="55"/>
      <c r="C8" s="55"/>
      <c r="D8" s="56"/>
      <c r="E8" s="295" t="s">
        <v>9</v>
      </c>
      <c r="F8" s="53"/>
      <c r="G8" s="59"/>
      <c r="H8" s="59"/>
      <c r="I8" s="58"/>
      <c r="J8" s="111"/>
    </row>
    <row r="9" spans="1:13">
      <c r="A9" s="61" t="s">
        <v>68</v>
      </c>
      <c r="B9" s="55"/>
      <c r="C9" s="55"/>
      <c r="D9" s="56"/>
      <c r="E9" s="295" t="s">
        <v>10</v>
      </c>
      <c r="F9" s="60" t="s">
        <v>12</v>
      </c>
      <c r="G9" s="60" t="s">
        <v>14</v>
      </c>
      <c r="H9" s="60" t="s">
        <v>20</v>
      </c>
      <c r="I9" s="60" t="s">
        <v>22</v>
      </c>
      <c r="J9" s="112" t="s">
        <v>24</v>
      </c>
    </row>
    <row r="10" spans="1:13">
      <c r="A10" s="54"/>
      <c r="B10" s="55"/>
      <c r="C10" s="55"/>
      <c r="D10" s="56"/>
      <c r="E10" s="295" t="s">
        <v>11</v>
      </c>
      <c r="F10" s="60" t="s">
        <v>13</v>
      </c>
      <c r="G10" s="59"/>
      <c r="H10" s="60" t="s">
        <v>21</v>
      </c>
      <c r="I10" s="60" t="s">
        <v>23</v>
      </c>
      <c r="J10" s="111"/>
    </row>
    <row r="11" spans="1:13">
      <c r="A11" s="62"/>
      <c r="B11" s="63"/>
      <c r="C11" s="63"/>
      <c r="D11" s="64"/>
      <c r="E11" s="65">
        <v>0.3</v>
      </c>
      <c r="F11" s="66">
        <v>0.7</v>
      </c>
      <c r="G11" s="59"/>
      <c r="H11" s="67"/>
      <c r="I11" s="68"/>
      <c r="J11" s="113"/>
    </row>
    <row r="12" spans="1:13" ht="18" customHeight="1">
      <c r="A12" s="70" t="s">
        <v>0</v>
      </c>
      <c r="B12" s="71"/>
      <c r="C12" s="71"/>
      <c r="D12" s="72"/>
      <c r="E12" s="51"/>
      <c r="F12" s="51"/>
      <c r="G12" s="51"/>
      <c r="H12" s="51"/>
      <c r="I12" s="51"/>
      <c r="J12" s="110"/>
      <c r="L12" s="297" t="s">
        <v>90</v>
      </c>
      <c r="M12" s="297" t="s">
        <v>89</v>
      </c>
    </row>
    <row r="13" spans="1:13" ht="18" customHeight="1">
      <c r="A13" s="73" t="s">
        <v>1</v>
      </c>
      <c r="B13" s="72"/>
      <c r="C13" s="72"/>
      <c r="D13" s="72"/>
      <c r="E13" s="94">
        <f>M19*0.3</f>
        <v>1013285.8427999998</v>
      </c>
      <c r="F13" s="94">
        <f>M19*0.7</f>
        <v>2364333.6331999996</v>
      </c>
      <c r="G13" s="94"/>
      <c r="H13" s="94"/>
      <c r="I13" s="94"/>
      <c r="J13" s="114">
        <f>SUM(E13:I13)</f>
        <v>3377619.4759999993</v>
      </c>
      <c r="K13" s="175" t="e">
        <f>SUM(J13+#REF!+#REF!+#REF!+#REF!+#REF!+#REF!+#REF!+#REF!+#REF!+#REF!+#REF!)</f>
        <v>#REF!</v>
      </c>
      <c r="L13" s="109">
        <v>21367644.399999999</v>
      </c>
      <c r="M13" s="109">
        <v>4171566.4</v>
      </c>
    </row>
    <row r="14" spans="1:13" ht="18" customHeight="1">
      <c r="A14" s="73" t="s">
        <v>2</v>
      </c>
      <c r="B14" s="72"/>
      <c r="C14" s="72"/>
      <c r="D14" s="72"/>
      <c r="E14" s="102"/>
      <c r="F14" s="102"/>
      <c r="G14" s="102"/>
      <c r="H14" s="102"/>
      <c r="I14" s="102"/>
      <c r="J14" s="110"/>
      <c r="K14" s="117" t="s">
        <v>88</v>
      </c>
      <c r="L14" s="109">
        <v>9400000</v>
      </c>
      <c r="M14" s="109">
        <v>5637398.9699999997</v>
      </c>
    </row>
    <row r="15" spans="1:13" ht="18" customHeight="1">
      <c r="A15" s="75" t="s">
        <v>3</v>
      </c>
      <c r="B15" s="48"/>
      <c r="C15" s="48"/>
      <c r="D15" s="48"/>
      <c r="E15" s="102"/>
      <c r="F15" s="102"/>
      <c r="G15" s="102"/>
      <c r="H15" s="102"/>
      <c r="I15" s="102"/>
      <c r="J15" s="110"/>
      <c r="L15" s="116">
        <f>SUM(L13:L14)</f>
        <v>30767644.399999999</v>
      </c>
      <c r="M15" s="116">
        <f>SUM(M13:M14)</f>
        <v>9808965.3699999992</v>
      </c>
    </row>
    <row r="16" spans="1:13" ht="18" customHeight="1">
      <c r="A16" s="76" t="s">
        <v>78</v>
      </c>
      <c r="B16" s="55"/>
      <c r="C16" s="55"/>
      <c r="D16" s="55"/>
      <c r="E16" s="103"/>
      <c r="F16" s="103"/>
      <c r="G16" s="103"/>
      <c r="H16" s="103"/>
      <c r="I16" s="103"/>
      <c r="J16" s="113"/>
      <c r="K16" s="46">
        <v>11930281.960000001</v>
      </c>
    </row>
    <row r="17" spans="1:14" ht="18" customHeight="1">
      <c r="A17" s="77" t="s">
        <v>79</v>
      </c>
      <c r="B17" s="72"/>
      <c r="C17" s="72"/>
      <c r="D17" s="72"/>
      <c r="E17" s="94"/>
      <c r="F17" s="94"/>
      <c r="G17" s="94"/>
      <c r="H17" s="94"/>
      <c r="I17" s="94"/>
      <c r="J17" s="113">
        <f>SUM(E17:I17)</f>
        <v>0</v>
      </c>
      <c r="K17" s="173">
        <f>K16-J16</f>
        <v>11930281.960000001</v>
      </c>
      <c r="M17" s="109">
        <v>25936573.030000001</v>
      </c>
    </row>
    <row r="18" spans="1:14" ht="18" customHeight="1">
      <c r="A18" s="70" t="s">
        <v>7</v>
      </c>
      <c r="B18" s="72"/>
      <c r="C18" s="72"/>
      <c r="D18" s="72"/>
      <c r="E18" s="119">
        <f>SUM(E13:E17)</f>
        <v>1013285.8427999998</v>
      </c>
      <c r="F18" s="119">
        <f t="shared" ref="F18:J18" si="0">SUM(F13:F17)</f>
        <v>2364333.6331999996</v>
      </c>
      <c r="G18" s="119">
        <f t="shared" si="0"/>
        <v>0</v>
      </c>
      <c r="H18" s="119">
        <f t="shared" si="0"/>
        <v>0</v>
      </c>
      <c r="I18" s="119">
        <f t="shared" si="0"/>
        <v>0</v>
      </c>
      <c r="J18" s="305">
        <f t="shared" si="0"/>
        <v>3377619.4759999993</v>
      </c>
      <c r="K18" s="166">
        <f t="shared" ref="K18:K45" si="1">SUM(E18:I18)</f>
        <v>3377619.4759999993</v>
      </c>
      <c r="L18" s="193" t="s">
        <v>171</v>
      </c>
      <c r="M18" s="192">
        <f>327281877.39-259729487.87</f>
        <v>67552389.519999981</v>
      </c>
    </row>
    <row r="19" spans="1:14" s="109" customFormat="1" ht="18" customHeight="1">
      <c r="A19" s="74" t="s">
        <v>99</v>
      </c>
      <c r="B19" s="72" t="s">
        <v>100</v>
      </c>
      <c r="C19" s="72"/>
      <c r="D19" s="72"/>
      <c r="E19" s="94">
        <f>SUM('DRRM Funds MAR''2016 '!E46)</f>
        <v>25590040.458050001</v>
      </c>
      <c r="F19" s="94">
        <f>SUM('DRRM Funds MAR''2016 '!F46)</f>
        <v>24997954.795450002</v>
      </c>
      <c r="G19" s="94">
        <f>SUM('DRRM Funds MAR''2016 '!G46)</f>
        <v>0</v>
      </c>
      <c r="H19" s="94">
        <f>SUM('DRRM Funds MAR''2016 '!H46)</f>
        <v>0</v>
      </c>
      <c r="I19" s="94">
        <f>SUM('DRRM Funds MAR''2016 '!I46)</f>
        <v>0</v>
      </c>
      <c r="J19" s="94">
        <f>SUM('DRRM Funds MAR''2016 '!J46)</f>
        <v>50587995.2535</v>
      </c>
      <c r="K19" s="166">
        <f t="shared" si="1"/>
        <v>50587995.2535</v>
      </c>
      <c r="L19" s="194">
        <v>0.05</v>
      </c>
      <c r="M19" s="269">
        <f>M18*0.05</f>
        <v>3377619.4759999993</v>
      </c>
    </row>
    <row r="20" spans="1:14" s="109" customFormat="1" ht="18" customHeight="1">
      <c r="A20" s="70" t="s">
        <v>101</v>
      </c>
      <c r="B20" s="122"/>
      <c r="C20" s="72"/>
      <c r="D20" s="72"/>
      <c r="E20" s="119">
        <f>SUM(E18:E19)</f>
        <v>26603326.30085</v>
      </c>
      <c r="F20" s="119">
        <f t="shared" ref="F20:J20" si="2">SUM(F18:F19)</f>
        <v>27362288.428650003</v>
      </c>
      <c r="G20" s="119">
        <f>SUM(G18:G19)</f>
        <v>0</v>
      </c>
      <c r="H20" s="119">
        <f t="shared" si="2"/>
        <v>0</v>
      </c>
      <c r="I20" s="119">
        <f t="shared" si="2"/>
        <v>0</v>
      </c>
      <c r="J20" s="119">
        <f t="shared" si="2"/>
        <v>53965614.729499996</v>
      </c>
      <c r="K20" s="166">
        <f t="shared" si="1"/>
        <v>53965614.729500003</v>
      </c>
    </row>
    <row r="21" spans="1:14" ht="18" customHeight="1">
      <c r="A21" s="70" t="s">
        <v>15</v>
      </c>
      <c r="B21" s="72"/>
      <c r="C21" s="72"/>
      <c r="D21" s="72"/>
      <c r="E21" s="94"/>
      <c r="F21" s="94"/>
      <c r="G21" s="94"/>
      <c r="H21" s="94"/>
      <c r="I21" s="94"/>
      <c r="J21" s="114"/>
      <c r="K21" s="166">
        <f t="shared" si="1"/>
        <v>0</v>
      </c>
      <c r="M21" s="109">
        <v>26972032.48</v>
      </c>
    </row>
    <row r="22" spans="1:14" ht="18" customHeight="1">
      <c r="A22" s="77" t="s">
        <v>206</v>
      </c>
      <c r="B22" s="263"/>
      <c r="C22" s="263"/>
      <c r="D22" s="263"/>
      <c r="E22" s="94"/>
      <c r="F22" s="94"/>
      <c r="G22" s="94"/>
      <c r="H22" s="94"/>
      <c r="I22" s="94"/>
      <c r="J22" s="114">
        <f>SUM(E22:I22)</f>
        <v>0</v>
      </c>
      <c r="K22" s="166"/>
    </row>
    <row r="23" spans="1:14" ht="18" customHeight="1">
      <c r="A23" s="77" t="s">
        <v>251</v>
      </c>
      <c r="B23" s="263"/>
      <c r="C23" s="263"/>
      <c r="D23" s="263"/>
      <c r="E23" s="94"/>
      <c r="F23" s="94"/>
      <c r="G23" s="94"/>
      <c r="H23" s="94"/>
      <c r="I23" s="94"/>
      <c r="J23" s="114">
        <f t="shared" ref="J23:J42" si="3">SUM(E23:I23)</f>
        <v>0</v>
      </c>
      <c r="K23" s="166">
        <f t="shared" si="1"/>
        <v>0</v>
      </c>
      <c r="L23" s="176">
        <f>518731460.56*0.05</f>
        <v>25936573.028000001</v>
      </c>
      <c r="M23" s="109">
        <v>125607.13</v>
      </c>
    </row>
    <row r="24" spans="1:14" ht="18" customHeight="1">
      <c r="A24" s="290" t="s">
        <v>229</v>
      </c>
      <c r="B24" s="291"/>
      <c r="C24" s="291"/>
      <c r="D24" s="291"/>
      <c r="E24" s="292"/>
      <c r="F24" s="292">
        <v>94835</v>
      </c>
      <c r="G24" s="292"/>
      <c r="H24" s="292"/>
      <c r="I24" s="292"/>
      <c r="J24" s="114">
        <f t="shared" si="3"/>
        <v>94835</v>
      </c>
      <c r="K24" s="166"/>
      <c r="L24" s="228"/>
    </row>
    <row r="25" spans="1:14" ht="18" customHeight="1">
      <c r="A25" s="290" t="s">
        <v>252</v>
      </c>
      <c r="B25" s="291"/>
      <c r="C25" s="291"/>
      <c r="D25" s="291"/>
      <c r="E25" s="292"/>
      <c r="F25" s="292">
        <v>64655.5</v>
      </c>
      <c r="G25" s="292"/>
      <c r="H25" s="292"/>
      <c r="I25" s="292"/>
      <c r="J25" s="114">
        <f t="shared" si="3"/>
        <v>64655.5</v>
      </c>
      <c r="K25" s="166">
        <f t="shared" si="1"/>
        <v>64655.5</v>
      </c>
      <c r="M25" s="232" t="s">
        <v>236</v>
      </c>
    </row>
    <row r="26" spans="1:14" ht="18" customHeight="1">
      <c r="A26" s="290" t="s">
        <v>276</v>
      </c>
      <c r="B26" s="291"/>
      <c r="C26" s="291"/>
      <c r="D26" s="291"/>
      <c r="E26" s="292"/>
      <c r="F26" s="292">
        <v>546145.68000000005</v>
      </c>
      <c r="G26" s="292"/>
      <c r="H26" s="292"/>
      <c r="I26" s="292"/>
      <c r="J26" s="114">
        <f t="shared" si="3"/>
        <v>546145.68000000005</v>
      </c>
      <c r="K26" s="166">
        <f t="shared" si="1"/>
        <v>546145.68000000005</v>
      </c>
      <c r="M26" s="229">
        <v>275607.13</v>
      </c>
      <c r="N26" s="46" t="s">
        <v>230</v>
      </c>
    </row>
    <row r="27" spans="1:14" ht="18" customHeight="1">
      <c r="A27" s="293" t="s">
        <v>275</v>
      </c>
      <c r="B27" s="291"/>
      <c r="C27" s="291"/>
      <c r="D27" s="291"/>
      <c r="E27" s="292"/>
      <c r="F27" s="292">
        <v>121150</v>
      </c>
      <c r="G27" s="292"/>
      <c r="H27" s="292"/>
      <c r="I27" s="292"/>
      <c r="J27" s="114">
        <f t="shared" si="3"/>
        <v>121150</v>
      </c>
      <c r="K27" s="166">
        <f t="shared" si="1"/>
        <v>121150</v>
      </c>
      <c r="M27" s="229">
        <v>695000</v>
      </c>
      <c r="N27" s="46" t="s">
        <v>232</v>
      </c>
    </row>
    <row r="28" spans="1:14" ht="18" customHeight="1">
      <c r="A28" s="290" t="s">
        <v>274</v>
      </c>
      <c r="B28" s="291"/>
      <c r="C28" s="291"/>
      <c r="D28" s="291"/>
      <c r="E28" s="292"/>
      <c r="F28" s="292"/>
      <c r="G28" s="292"/>
      <c r="H28" s="292"/>
      <c r="I28" s="292"/>
      <c r="J28" s="114">
        <f t="shared" si="3"/>
        <v>0</v>
      </c>
      <c r="K28" s="166">
        <f t="shared" si="1"/>
        <v>0</v>
      </c>
      <c r="M28" s="229">
        <v>1470000</v>
      </c>
      <c r="N28" s="46" t="s">
        <v>233</v>
      </c>
    </row>
    <row r="29" spans="1:14" ht="18" customHeight="1">
      <c r="A29" s="290" t="s">
        <v>227</v>
      </c>
      <c r="B29" s="291"/>
      <c r="C29" s="291"/>
      <c r="D29" s="291"/>
      <c r="E29" s="292"/>
      <c r="F29" s="292"/>
      <c r="G29" s="292"/>
      <c r="H29" s="292"/>
      <c r="I29" s="292"/>
      <c r="J29" s="114">
        <f t="shared" si="3"/>
        <v>0</v>
      </c>
      <c r="K29" s="166">
        <f t="shared" si="1"/>
        <v>0</v>
      </c>
      <c r="L29" s="297"/>
      <c r="M29" s="229">
        <v>3071228.76</v>
      </c>
      <c r="N29" s="46" t="s">
        <v>231</v>
      </c>
    </row>
    <row r="30" spans="1:14" ht="18" customHeight="1">
      <c r="A30" s="290" t="s">
        <v>273</v>
      </c>
      <c r="B30" s="291"/>
      <c r="C30" s="291"/>
      <c r="D30" s="291"/>
      <c r="E30" s="292"/>
      <c r="F30" s="292">
        <v>99500</v>
      </c>
      <c r="G30" s="292"/>
      <c r="H30" s="292"/>
      <c r="I30" s="292"/>
      <c r="J30" s="114">
        <f t="shared" si="3"/>
        <v>99500</v>
      </c>
      <c r="K30" s="166"/>
      <c r="L30" s="297"/>
      <c r="M30" s="229">
        <v>5009130</v>
      </c>
      <c r="N30" s="46" t="s">
        <v>234</v>
      </c>
    </row>
    <row r="31" spans="1:14" ht="18" customHeight="1">
      <c r="A31" s="290" t="s">
        <v>213</v>
      </c>
      <c r="B31" s="291"/>
      <c r="C31" s="291"/>
      <c r="D31" s="291"/>
      <c r="E31" s="292"/>
      <c r="F31" s="292"/>
      <c r="G31" s="292"/>
      <c r="H31" s="292"/>
      <c r="I31" s="292"/>
      <c r="J31" s="114">
        <f t="shared" si="3"/>
        <v>0</v>
      </c>
      <c r="K31" s="166"/>
      <c r="L31" s="297"/>
      <c r="M31" s="230">
        <v>1900100</v>
      </c>
      <c r="N31" s="46" t="s">
        <v>235</v>
      </c>
    </row>
    <row r="32" spans="1:14" ht="18" customHeight="1">
      <c r="A32" s="290" t="s">
        <v>250</v>
      </c>
      <c r="B32" s="291"/>
      <c r="C32" s="291"/>
      <c r="D32" s="291"/>
      <c r="E32" s="292"/>
      <c r="F32" s="292">
        <v>100000</v>
      </c>
      <c r="G32" s="292"/>
      <c r="H32" s="292"/>
      <c r="I32" s="292"/>
      <c r="J32" s="114">
        <f t="shared" si="3"/>
        <v>100000</v>
      </c>
      <c r="K32" s="166"/>
      <c r="L32" s="297"/>
      <c r="M32" s="289">
        <f>SUM(M26:M31)</f>
        <v>12421065.890000001</v>
      </c>
    </row>
    <row r="33" spans="1:13" ht="18" customHeight="1">
      <c r="A33" s="290" t="s">
        <v>214</v>
      </c>
      <c r="B33" s="291"/>
      <c r="C33" s="291"/>
      <c r="D33" s="291"/>
      <c r="E33" s="292"/>
      <c r="F33" s="292"/>
      <c r="G33" s="292"/>
      <c r="H33" s="292"/>
      <c r="I33" s="292"/>
      <c r="J33" s="114">
        <f t="shared" si="3"/>
        <v>0</v>
      </c>
      <c r="K33" s="227"/>
      <c r="L33" s="297"/>
    </row>
    <row r="34" spans="1:13" ht="18" customHeight="1">
      <c r="A34" s="290" t="s">
        <v>249</v>
      </c>
      <c r="B34" s="291"/>
      <c r="C34" s="291"/>
      <c r="D34" s="291"/>
      <c r="E34" s="292"/>
      <c r="F34" s="292"/>
      <c r="G34" s="292"/>
      <c r="H34" s="292"/>
      <c r="I34" s="292"/>
      <c r="J34" s="114">
        <f t="shared" si="3"/>
        <v>0</v>
      </c>
      <c r="K34" s="265"/>
      <c r="L34" s="297"/>
    </row>
    <row r="35" spans="1:13" ht="18" customHeight="1">
      <c r="A35" s="290" t="s">
        <v>222</v>
      </c>
      <c r="B35" s="291"/>
      <c r="C35" s="291"/>
      <c r="D35" s="291"/>
      <c r="E35" s="292"/>
      <c r="F35" s="292"/>
      <c r="G35" s="292"/>
      <c r="H35" s="292"/>
      <c r="I35" s="292"/>
      <c r="J35" s="114">
        <f t="shared" si="3"/>
        <v>0</v>
      </c>
      <c r="K35" s="266">
        <f t="shared" si="1"/>
        <v>0</v>
      </c>
      <c r="L35" s="109">
        <f>SUM(F29:F35)</f>
        <v>199500</v>
      </c>
    </row>
    <row r="36" spans="1:13" ht="18" customHeight="1">
      <c r="A36" s="290" t="s">
        <v>223</v>
      </c>
      <c r="B36" s="291"/>
      <c r="C36" s="291"/>
      <c r="D36" s="291"/>
      <c r="E36" s="292"/>
      <c r="F36" s="292"/>
      <c r="G36" s="292"/>
      <c r="H36" s="292"/>
      <c r="I36" s="292"/>
      <c r="J36" s="114">
        <f t="shared" si="3"/>
        <v>0</v>
      </c>
      <c r="K36" s="166">
        <f t="shared" si="1"/>
        <v>0</v>
      </c>
      <c r="L36" s="109">
        <v>147060</v>
      </c>
    </row>
    <row r="37" spans="1:13" ht="18" customHeight="1">
      <c r="A37" s="290" t="s">
        <v>168</v>
      </c>
      <c r="B37" s="291"/>
      <c r="C37" s="291"/>
      <c r="D37" s="291"/>
      <c r="E37" s="292"/>
      <c r="F37" s="292"/>
      <c r="G37" s="292"/>
      <c r="H37" s="292"/>
      <c r="I37" s="292"/>
      <c r="J37" s="114">
        <f t="shared" si="3"/>
        <v>0</v>
      </c>
      <c r="K37" s="166">
        <f t="shared" si="1"/>
        <v>0</v>
      </c>
    </row>
    <row r="38" spans="1:13" ht="18" customHeight="1">
      <c r="A38" s="290" t="s">
        <v>293</v>
      </c>
      <c r="B38" s="291"/>
      <c r="C38" s="291"/>
      <c r="D38" s="291"/>
      <c r="E38" s="292"/>
      <c r="F38" s="292">
        <v>6000</v>
      </c>
      <c r="G38" s="292"/>
      <c r="H38" s="292"/>
      <c r="I38" s="292"/>
      <c r="J38" s="114">
        <f t="shared" si="3"/>
        <v>6000</v>
      </c>
      <c r="K38" s="166">
        <f t="shared" si="1"/>
        <v>6000</v>
      </c>
      <c r="L38" s="109">
        <v>1555500</v>
      </c>
    </row>
    <row r="39" spans="1:13" ht="18" customHeight="1">
      <c r="A39" s="290" t="s">
        <v>207</v>
      </c>
      <c r="B39" s="291"/>
      <c r="C39" s="291"/>
      <c r="D39" s="291"/>
      <c r="E39" s="292"/>
      <c r="F39" s="292">
        <v>32752.5</v>
      </c>
      <c r="G39" s="292"/>
      <c r="H39" s="292"/>
      <c r="I39" s="292"/>
      <c r="J39" s="114">
        <f t="shared" si="3"/>
        <v>32752.5</v>
      </c>
      <c r="K39" s="166"/>
    </row>
    <row r="40" spans="1:13" ht="18" customHeight="1">
      <c r="A40" s="83" t="s">
        <v>94</v>
      </c>
      <c r="B40" s="263"/>
      <c r="C40" s="263"/>
      <c r="D40" s="263"/>
      <c r="E40" s="94"/>
      <c r="F40" s="94"/>
      <c r="G40" s="94"/>
      <c r="H40" s="94"/>
      <c r="I40" s="94"/>
      <c r="J40" s="114">
        <f t="shared" si="3"/>
        <v>0</v>
      </c>
      <c r="K40" s="166">
        <f t="shared" si="1"/>
        <v>0</v>
      </c>
      <c r="L40" s="109">
        <v>177000</v>
      </c>
    </row>
    <row r="41" spans="1:13" ht="18" customHeight="1">
      <c r="A41" s="83" t="s">
        <v>95</v>
      </c>
      <c r="B41" s="263"/>
      <c r="C41" s="263"/>
      <c r="D41" s="263"/>
      <c r="E41" s="94"/>
      <c r="F41" s="94"/>
      <c r="G41" s="94"/>
      <c r="H41" s="94"/>
      <c r="I41" s="94"/>
      <c r="J41" s="114">
        <f t="shared" si="3"/>
        <v>0</v>
      </c>
      <c r="K41" s="166">
        <f t="shared" si="1"/>
        <v>0</v>
      </c>
      <c r="L41" s="109">
        <v>204055</v>
      </c>
    </row>
    <row r="42" spans="1:13" ht="18" customHeight="1">
      <c r="A42" s="77" t="s">
        <v>96</v>
      </c>
      <c r="B42" s="263"/>
      <c r="C42" s="263"/>
      <c r="D42" s="263"/>
      <c r="E42" s="94"/>
      <c r="F42" s="102">
        <v>13675</v>
      </c>
      <c r="G42" s="94"/>
      <c r="H42" s="94"/>
      <c r="I42" s="94"/>
      <c r="J42" s="114">
        <f t="shared" si="3"/>
        <v>13675</v>
      </c>
      <c r="K42" s="166">
        <f t="shared" si="1"/>
        <v>13675</v>
      </c>
      <c r="L42" s="109">
        <v>71070</v>
      </c>
    </row>
    <row r="43" spans="1:13" ht="18" customHeight="1">
      <c r="A43" s="84" t="s">
        <v>92</v>
      </c>
      <c r="B43" s="63"/>
      <c r="C43" s="63"/>
      <c r="D43" s="63"/>
      <c r="E43" s="89">
        <f>SUM(E22:E42)</f>
        <v>0</v>
      </c>
      <c r="F43" s="303">
        <f t="shared" ref="F43:J43" si="4">SUM(F22:F42)</f>
        <v>1078713.6800000002</v>
      </c>
      <c r="G43" s="304">
        <f>SUM(G22:G42)</f>
        <v>0</v>
      </c>
      <c r="H43" s="94">
        <f t="shared" si="4"/>
        <v>0</v>
      </c>
      <c r="I43" s="94">
        <f t="shared" si="4"/>
        <v>0</v>
      </c>
      <c r="J43" s="301">
        <f t="shared" si="4"/>
        <v>1078713.6800000002</v>
      </c>
      <c r="K43" s="166">
        <f t="shared" si="1"/>
        <v>1078713.6800000002</v>
      </c>
      <c r="L43" s="109">
        <v>27800</v>
      </c>
      <c r="M43" s="46"/>
    </row>
    <row r="44" spans="1:13" ht="18" customHeight="1">
      <c r="A44" s="84" t="s">
        <v>103</v>
      </c>
      <c r="B44" s="63"/>
      <c r="C44" s="63"/>
      <c r="D44" s="63"/>
      <c r="E44" s="103">
        <f>SUM('DRRM Funds MAR''2016 '!E45)</f>
        <v>0</v>
      </c>
      <c r="F44" s="103">
        <f>SUM('DRRM Funds MAR''2016 '!F45)</f>
        <v>4184519.26</v>
      </c>
      <c r="G44" s="103">
        <f>SUM('DRRM Funds MAR''2016 '!G45)</f>
        <v>0</v>
      </c>
      <c r="H44" s="103">
        <f>SUM('DRRM Funds MAR''2016 '!H45)</f>
        <v>0</v>
      </c>
      <c r="I44" s="103">
        <f>SUM('DRRM Funds MAR''2016 '!I45)</f>
        <v>0</v>
      </c>
      <c r="J44" s="103">
        <f>SUM('DRRM Funds MAR''2016 '!J45)</f>
        <v>4184519.26</v>
      </c>
      <c r="K44" s="166">
        <f t="shared" si="1"/>
        <v>4184519.26</v>
      </c>
      <c r="L44" s="109">
        <v>126865</v>
      </c>
      <c r="M44" s="109">
        <f>SUM(E44:H44)</f>
        <v>4184519.26</v>
      </c>
    </row>
    <row r="45" spans="1:13" ht="18" customHeight="1">
      <c r="A45" s="84" t="s">
        <v>104</v>
      </c>
      <c r="B45" s="63"/>
      <c r="C45" s="63"/>
      <c r="D45" s="63"/>
      <c r="E45" s="103">
        <f>SUM(E43:E44)</f>
        <v>0</v>
      </c>
      <c r="F45" s="103">
        <f t="shared" ref="F45:J45" si="5">SUM(F43:F44)</f>
        <v>5263232.9399999995</v>
      </c>
      <c r="G45" s="103">
        <f t="shared" si="5"/>
        <v>0</v>
      </c>
      <c r="H45" s="103">
        <f t="shared" si="5"/>
        <v>0</v>
      </c>
      <c r="I45" s="103">
        <f t="shared" si="5"/>
        <v>0</v>
      </c>
      <c r="J45" s="103">
        <f t="shared" si="5"/>
        <v>5263232.9399999995</v>
      </c>
      <c r="K45" s="166">
        <f t="shared" si="1"/>
        <v>5263232.9399999995</v>
      </c>
      <c r="L45" s="174">
        <f>SUM(L35:L44)</f>
        <v>2508850</v>
      </c>
      <c r="M45" s="109">
        <v>10492358.970000001</v>
      </c>
    </row>
    <row r="46" spans="1:13" ht="18" customHeight="1">
      <c r="A46" s="70" t="s">
        <v>93</v>
      </c>
      <c r="B46" s="72"/>
      <c r="C46" s="72"/>
      <c r="D46" s="80"/>
      <c r="E46" s="231">
        <f t="shared" ref="E46:J46" si="6">E20-E43</f>
        <v>26603326.30085</v>
      </c>
      <c r="F46" s="231">
        <f t="shared" si="6"/>
        <v>26283574.748650003</v>
      </c>
      <c r="G46" s="231">
        <f>G20-G43</f>
        <v>0</v>
      </c>
      <c r="H46" s="231">
        <f t="shared" si="6"/>
        <v>0</v>
      </c>
      <c r="I46" s="231">
        <f t="shared" si="6"/>
        <v>0</v>
      </c>
      <c r="J46" s="231">
        <f t="shared" si="6"/>
        <v>52886901.049499996</v>
      </c>
      <c r="K46" s="166">
        <f>SUM(E46:I46)</f>
        <v>52886901.049500003</v>
      </c>
      <c r="L46" s="46"/>
      <c r="M46" s="109">
        <f>M45-L45</f>
        <v>7983508.9700000007</v>
      </c>
    </row>
    <row r="47" spans="1:13" ht="18" customHeight="1">
      <c r="A47" s="55"/>
      <c r="B47" s="55"/>
      <c r="C47" s="55"/>
      <c r="D47" s="55"/>
      <c r="E47" s="55"/>
      <c r="F47" s="55"/>
      <c r="G47" s="55"/>
      <c r="H47" s="55"/>
      <c r="I47" s="55"/>
      <c r="J47" s="115" t="s">
        <v>74</v>
      </c>
      <c r="K47" s="92">
        <f>SUM(E46:F46)</f>
        <v>52886901.049500003</v>
      </c>
      <c r="M47" s="109">
        <v>0</v>
      </c>
    </row>
    <row r="48" spans="1:13">
      <c r="A48" s="55" t="s">
        <v>83</v>
      </c>
      <c r="B48" s="55"/>
      <c r="C48" s="55"/>
      <c r="D48" s="55"/>
      <c r="E48" s="55"/>
      <c r="F48" s="55"/>
      <c r="G48" s="55"/>
      <c r="H48" s="55" t="s">
        <v>29</v>
      </c>
      <c r="I48" s="55"/>
      <c r="J48" s="115"/>
      <c r="K48" s="55"/>
      <c r="L48" s="109">
        <v>752760</v>
      </c>
    </row>
    <row r="49" spans="1:13">
      <c r="A49" s="55"/>
      <c r="B49" s="55"/>
      <c r="C49" s="55"/>
      <c r="D49" s="55"/>
      <c r="E49" s="55"/>
      <c r="F49" s="55"/>
      <c r="G49" s="55"/>
      <c r="H49" s="55"/>
      <c r="I49" s="55"/>
      <c r="J49" s="115"/>
      <c r="K49" s="55"/>
      <c r="L49" s="109">
        <v>902075</v>
      </c>
    </row>
    <row r="50" spans="1:13">
      <c r="A50" s="82" t="s">
        <v>202</v>
      </c>
      <c r="B50" s="55"/>
      <c r="C50" s="55"/>
      <c r="D50" s="55"/>
      <c r="E50" s="55"/>
      <c r="F50" s="55"/>
      <c r="G50" s="55"/>
      <c r="H50" s="241" t="s">
        <v>194</v>
      </c>
      <c r="I50" s="55"/>
      <c r="J50" s="115"/>
      <c r="K50" s="55"/>
      <c r="L50" s="109">
        <v>504234.65</v>
      </c>
      <c r="M50" s="109">
        <v>8736531.7100000009</v>
      </c>
    </row>
    <row r="51" spans="1:13">
      <c r="A51" s="140" t="s">
        <v>287</v>
      </c>
      <c r="B51" s="55"/>
      <c r="C51" s="55"/>
      <c r="D51" s="55"/>
      <c r="E51" s="55"/>
      <c r="F51" s="55"/>
      <c r="G51" s="55"/>
      <c r="H51" s="140" t="s">
        <v>195</v>
      </c>
      <c r="I51" s="55"/>
      <c r="J51" s="115"/>
      <c r="K51" s="55"/>
      <c r="L51" s="109">
        <v>899145</v>
      </c>
      <c r="M51" s="109">
        <v>10140</v>
      </c>
    </row>
    <row r="52" spans="1:13">
      <c r="A52" s="55"/>
      <c r="B52" s="55"/>
      <c r="C52" s="55"/>
      <c r="D52" s="55"/>
      <c r="E52" s="121" t="s">
        <v>237</v>
      </c>
      <c r="F52" s="55"/>
      <c r="G52" s="55"/>
      <c r="H52" s="55"/>
      <c r="I52" s="55"/>
      <c r="J52" s="115"/>
      <c r="K52" s="55"/>
      <c r="L52" s="109">
        <v>1087927.3999999999</v>
      </c>
      <c r="M52" s="109">
        <f>SUM(M50:M51)</f>
        <v>8746671.7100000009</v>
      </c>
    </row>
    <row r="53" spans="1:13">
      <c r="A53" s="55"/>
      <c r="B53" s="55"/>
      <c r="C53" s="55"/>
      <c r="D53" s="55"/>
      <c r="E53" s="115"/>
      <c r="F53" s="55"/>
      <c r="G53" s="55"/>
      <c r="H53" s="55"/>
      <c r="I53" s="115"/>
      <c r="J53" s="115"/>
      <c r="K53" s="55"/>
      <c r="L53" s="109">
        <v>2896515.5</v>
      </c>
    </row>
    <row r="54" spans="1:13">
      <c r="A54" s="55"/>
      <c r="B54" s="55"/>
      <c r="C54" s="55"/>
      <c r="D54" s="55"/>
      <c r="E54" s="82" t="s">
        <v>149</v>
      </c>
      <c r="F54" s="55"/>
      <c r="G54" s="55"/>
      <c r="H54" s="55"/>
      <c r="I54" s="115"/>
      <c r="J54" s="115"/>
      <c r="K54" s="55"/>
    </row>
    <row r="55" spans="1:13">
      <c r="A55" s="55"/>
      <c r="B55" s="55"/>
      <c r="C55" s="55"/>
      <c r="D55" s="55"/>
      <c r="E55" s="55" t="s">
        <v>238</v>
      </c>
      <c r="F55" s="55"/>
      <c r="G55" s="55"/>
      <c r="H55" s="55"/>
      <c r="I55" s="115"/>
      <c r="J55" s="115"/>
      <c r="K55" s="55"/>
      <c r="L55" s="109">
        <v>120000</v>
      </c>
    </row>
    <row r="56" spans="1:13">
      <c r="I56" s="109"/>
      <c r="M56" s="46"/>
    </row>
    <row r="57" spans="1:13">
      <c r="F57" s="121"/>
      <c r="I57" s="109"/>
      <c r="K57" s="55"/>
      <c r="L57" s="115">
        <v>630000</v>
      </c>
      <c r="M57" s="183">
        <v>10644424.82</v>
      </c>
    </row>
    <row r="58" spans="1:13">
      <c r="B58" s="276" t="s">
        <v>236</v>
      </c>
      <c r="F58" s="115"/>
      <c r="I58" s="109"/>
      <c r="J58" s="109">
        <v>7850000</v>
      </c>
      <c r="L58" s="109">
        <v>1000000</v>
      </c>
      <c r="M58" s="183">
        <v>13157941.960000001</v>
      </c>
    </row>
    <row r="59" spans="1:13">
      <c r="I59" s="109"/>
      <c r="J59" s="109">
        <v>800000</v>
      </c>
      <c r="L59" s="109">
        <v>1300000</v>
      </c>
      <c r="M59" s="184">
        <v>0</v>
      </c>
    </row>
    <row r="60" spans="1:13">
      <c r="A60" s="46" t="s">
        <v>282</v>
      </c>
      <c r="B60" s="392">
        <f>1493800+99900</f>
        <v>1593700</v>
      </c>
      <c r="C60" s="392"/>
      <c r="I60" s="109"/>
      <c r="J60" s="109">
        <v>1200000</v>
      </c>
      <c r="L60" s="109">
        <v>2000000</v>
      </c>
      <c r="M60" s="183">
        <f>SUM(M57:M59)</f>
        <v>23802366.780000001</v>
      </c>
    </row>
    <row r="61" spans="1:13">
      <c r="A61" s="46" t="s">
        <v>281</v>
      </c>
      <c r="B61" s="392">
        <v>1400000</v>
      </c>
      <c r="C61" s="392"/>
      <c r="I61" s="109"/>
      <c r="J61" s="109">
        <v>3500000</v>
      </c>
      <c r="L61" s="109">
        <v>150000</v>
      </c>
      <c r="M61" s="183">
        <v>24092226.780000001</v>
      </c>
    </row>
    <row r="62" spans="1:13">
      <c r="A62" s="46" t="s">
        <v>258</v>
      </c>
      <c r="B62" s="393">
        <v>1975000</v>
      </c>
      <c r="C62" s="393"/>
      <c r="I62" s="109">
        <v>100000</v>
      </c>
      <c r="J62" s="116">
        <f>SUM(J58:J61)</f>
        <v>13350000</v>
      </c>
      <c r="L62" s="109">
        <v>4590281.96</v>
      </c>
      <c r="M62" s="183">
        <f>M61-M60</f>
        <v>289860</v>
      </c>
    </row>
    <row r="63" spans="1:13">
      <c r="A63" s="46" t="s">
        <v>283</v>
      </c>
      <c r="B63" s="387">
        <v>1214184.3500000001</v>
      </c>
      <c r="C63" s="387"/>
      <c r="I63" s="109">
        <v>4589687.1100000003</v>
      </c>
      <c r="J63" s="109">
        <v>16829861.079999998</v>
      </c>
      <c r="L63" s="109">
        <f>SUM(L57:L62)</f>
        <v>9670281.9600000009</v>
      </c>
      <c r="M63" s="46"/>
    </row>
    <row r="64" spans="1:13">
      <c r="B64" s="388">
        <f>SUM(B60:C63)</f>
        <v>6182884.3499999996</v>
      </c>
      <c r="C64" s="388"/>
      <c r="I64" s="116">
        <f>SUM(I58:I63)</f>
        <v>4689687.1100000003</v>
      </c>
      <c r="J64" s="109">
        <f>J62-J63</f>
        <v>-3479861.0799999982</v>
      </c>
      <c r="M64" s="109">
        <v>24416573.030000001</v>
      </c>
    </row>
    <row r="65" spans="1:13">
      <c r="I65" s="109">
        <v>7212797.6100000003</v>
      </c>
      <c r="M65" s="109">
        <v>24708913.030000001</v>
      </c>
    </row>
    <row r="66" spans="1:13">
      <c r="I66" s="109">
        <f>I64-I65</f>
        <v>-2523110.5</v>
      </c>
      <c r="M66" s="109">
        <f>M64-M65</f>
        <v>-292340</v>
      </c>
    </row>
    <row r="67" spans="1:13">
      <c r="I67" s="109"/>
      <c r="M67" s="109">
        <v>289860</v>
      </c>
    </row>
    <row r="68" spans="1:13">
      <c r="I68" s="109"/>
      <c r="J68" s="109">
        <v>25346381.800000001</v>
      </c>
      <c r="M68" s="173">
        <f>SUM(M66:M67)</f>
        <v>-2480</v>
      </c>
    </row>
    <row r="69" spans="1:13">
      <c r="I69" s="109"/>
      <c r="J69" s="109">
        <v>24042658.690000001</v>
      </c>
      <c r="M69" s="46"/>
    </row>
    <row r="70" spans="1:13">
      <c r="I70" s="109"/>
      <c r="J70" s="109">
        <f>J68-J69</f>
        <v>1303723.1099999994</v>
      </c>
      <c r="L70" s="109">
        <v>400000</v>
      </c>
      <c r="M70" s="46"/>
    </row>
    <row r="71" spans="1:13">
      <c r="I71" s="109"/>
      <c r="L71" s="109">
        <v>1000000</v>
      </c>
      <c r="M71" s="109">
        <v>25279.7</v>
      </c>
    </row>
    <row r="72" spans="1:13">
      <c r="I72" s="109"/>
      <c r="M72" s="109">
        <v>27759.7</v>
      </c>
    </row>
    <row r="73" spans="1:13">
      <c r="H73" s="109"/>
      <c r="I73" s="109"/>
      <c r="M73" s="173">
        <f>M71-M72</f>
        <v>-2480</v>
      </c>
    </row>
    <row r="74" spans="1:13">
      <c r="H74" s="109">
        <v>4455551.57</v>
      </c>
      <c r="I74" s="109"/>
      <c r="J74" s="109">
        <v>17496381.800000001</v>
      </c>
      <c r="M74" s="46"/>
    </row>
    <row r="75" spans="1:13">
      <c r="H75" s="109">
        <v>5760963.6399999997</v>
      </c>
      <c r="I75" s="109"/>
      <c r="J75" s="109">
        <v>7850000</v>
      </c>
      <c r="M75" s="46"/>
    </row>
    <row r="76" spans="1:13">
      <c r="H76" s="109">
        <f>SUM(H74:H75)</f>
        <v>10216515.210000001</v>
      </c>
      <c r="I76" s="109"/>
      <c r="J76" s="109">
        <f>SUM(J74:J75)</f>
        <v>25346381.800000001</v>
      </c>
      <c r="M76" s="46"/>
    </row>
    <row r="77" spans="1:13" s="109" customFormat="1">
      <c r="A77" s="46"/>
      <c r="B77" s="46"/>
      <c r="C77" s="46"/>
      <c r="D77" s="46"/>
      <c r="E77" s="46"/>
      <c r="F77" s="46"/>
      <c r="G77" s="46"/>
    </row>
    <row r="78" spans="1:13" s="109" customFormat="1">
      <c r="A78" s="46"/>
      <c r="B78" s="46"/>
      <c r="C78" s="46"/>
      <c r="D78" s="46"/>
      <c r="E78" s="46"/>
      <c r="F78" s="46"/>
      <c r="G78" s="46"/>
    </row>
    <row r="79" spans="1:13" s="109" customFormat="1">
      <c r="A79" s="46"/>
      <c r="B79" s="46"/>
      <c r="C79" s="46"/>
      <c r="D79" s="46"/>
      <c r="E79" s="46"/>
      <c r="F79" s="46"/>
      <c r="G79" s="46"/>
    </row>
    <row r="80" spans="1:13" s="109" customFormat="1">
      <c r="A80" s="46"/>
      <c r="B80" s="46"/>
      <c r="C80" s="46"/>
      <c r="D80" s="46"/>
      <c r="E80" s="46"/>
      <c r="F80" s="46"/>
      <c r="G80" s="46"/>
    </row>
    <row r="81" spans="1:11" s="109" customFormat="1">
      <c r="A81" s="46"/>
      <c r="B81" s="46"/>
      <c r="C81" s="46"/>
      <c r="D81" s="46"/>
      <c r="E81" s="46"/>
      <c r="F81" s="46"/>
      <c r="G81" s="46"/>
    </row>
    <row r="82" spans="1:11" s="109" customFormat="1">
      <c r="A82" s="46"/>
      <c r="B82" s="46"/>
      <c r="C82" s="46"/>
      <c r="D82" s="46"/>
      <c r="E82" s="46"/>
      <c r="F82" s="46"/>
      <c r="G82" s="46"/>
    </row>
    <row r="83" spans="1:11" s="109" customFormat="1">
      <c r="A83" s="46"/>
      <c r="B83" s="46"/>
      <c r="C83" s="46"/>
      <c r="D83" s="46"/>
      <c r="E83" s="46"/>
      <c r="F83" s="46"/>
      <c r="G83" s="46"/>
      <c r="H83" s="46"/>
    </row>
    <row r="84" spans="1:11" s="109" customFormat="1">
      <c r="A84" s="46"/>
      <c r="B84" s="46"/>
      <c r="C84" s="46"/>
      <c r="D84" s="46"/>
      <c r="E84" s="46"/>
      <c r="F84" s="46"/>
      <c r="G84" s="46"/>
      <c r="H84" s="46"/>
    </row>
    <row r="85" spans="1:11" s="109" customFormat="1">
      <c r="A85" s="46"/>
      <c r="B85" s="46"/>
      <c r="C85" s="46"/>
      <c r="D85" s="46"/>
      <c r="E85" s="46"/>
      <c r="F85" s="46"/>
      <c r="G85" s="46"/>
      <c r="H85" s="46"/>
    </row>
    <row r="86" spans="1:11" s="109" customFormat="1">
      <c r="A86" s="46"/>
      <c r="B86" s="46"/>
      <c r="C86" s="46"/>
      <c r="D86" s="46"/>
      <c r="E86" s="46"/>
      <c r="F86" s="46"/>
      <c r="G86" s="46"/>
      <c r="H86" s="46"/>
    </row>
    <row r="87" spans="1:11" s="109" customFormat="1">
      <c r="A87" s="46"/>
      <c r="B87" s="46"/>
      <c r="C87" s="46"/>
      <c r="D87" s="46"/>
      <c r="E87" s="46"/>
      <c r="F87" s="46"/>
      <c r="G87" s="46"/>
      <c r="H87" s="46"/>
      <c r="K87" s="46"/>
    </row>
    <row r="88" spans="1:11" s="109" customFormat="1">
      <c r="A88" s="46"/>
      <c r="B88" s="46"/>
      <c r="C88" s="46"/>
      <c r="D88" s="46"/>
      <c r="E88" s="46"/>
      <c r="F88" s="46"/>
      <c r="G88" s="46"/>
      <c r="H88" s="46"/>
      <c r="K88" s="46"/>
    </row>
    <row r="89" spans="1:11" s="109" customFormat="1">
      <c r="A89" s="46"/>
      <c r="B89" s="46"/>
      <c r="C89" s="46"/>
      <c r="D89" s="46"/>
      <c r="E89" s="46"/>
      <c r="F89" s="46"/>
      <c r="G89" s="46"/>
      <c r="H89" s="46"/>
      <c r="K89" s="46"/>
    </row>
    <row r="90" spans="1:11" s="109" customFormat="1">
      <c r="A90" s="46"/>
      <c r="B90" s="46"/>
      <c r="C90" s="46"/>
      <c r="D90" s="46"/>
      <c r="E90" s="46"/>
      <c r="F90" s="46"/>
      <c r="G90" s="46"/>
      <c r="H90" s="46"/>
      <c r="K90" s="46"/>
    </row>
    <row r="91" spans="1:11" s="109" customFormat="1">
      <c r="A91" s="46"/>
      <c r="B91" s="46"/>
      <c r="C91" s="46"/>
      <c r="D91" s="46"/>
      <c r="E91" s="46"/>
      <c r="F91" s="46"/>
      <c r="G91" s="46"/>
      <c r="H91" s="46"/>
      <c r="K91" s="46"/>
    </row>
    <row r="92" spans="1:11" s="109" customFormat="1">
      <c r="A92" s="46"/>
      <c r="B92" s="46"/>
      <c r="C92" s="46"/>
      <c r="D92" s="46"/>
      <c r="E92" s="46"/>
      <c r="F92" s="46"/>
      <c r="G92" s="46"/>
      <c r="H92" s="46"/>
      <c r="K92" s="46"/>
    </row>
    <row r="93" spans="1:11" s="109" customFormat="1">
      <c r="A93" s="46"/>
      <c r="B93" s="46"/>
      <c r="C93" s="46"/>
      <c r="D93" s="46"/>
      <c r="E93" s="46"/>
      <c r="F93" s="46"/>
      <c r="G93" s="46"/>
      <c r="H93" s="46"/>
      <c r="K93" s="46"/>
    </row>
    <row r="94" spans="1:11" s="109" customFormat="1">
      <c r="A94" s="46"/>
      <c r="B94" s="46"/>
      <c r="C94" s="46"/>
      <c r="D94" s="46"/>
      <c r="E94" s="46"/>
      <c r="F94" s="46"/>
      <c r="G94" s="46"/>
      <c r="H94" s="46"/>
      <c r="K94" s="46"/>
    </row>
    <row r="95" spans="1:11" s="109" customFormat="1">
      <c r="A95" s="46"/>
      <c r="B95" s="46"/>
      <c r="C95" s="46"/>
      <c r="D95" s="46"/>
      <c r="E95" s="46"/>
      <c r="F95" s="46"/>
      <c r="G95" s="46"/>
      <c r="H95" s="46"/>
      <c r="K95" s="46"/>
    </row>
    <row r="96" spans="1:11" s="109" customFormat="1">
      <c r="A96" s="46"/>
      <c r="B96" s="46"/>
      <c r="C96" s="46"/>
      <c r="D96" s="46"/>
      <c r="E96" s="46"/>
      <c r="F96" s="46"/>
      <c r="G96" s="46"/>
      <c r="H96" s="46"/>
      <c r="K96" s="46"/>
    </row>
    <row r="97" spans="1:11" s="109" customFormat="1">
      <c r="A97" s="46"/>
      <c r="B97" s="46"/>
      <c r="C97" s="46"/>
      <c r="D97" s="46"/>
      <c r="E97" s="46"/>
      <c r="F97" s="46"/>
      <c r="G97" s="46"/>
      <c r="H97" s="46"/>
      <c r="K97" s="46"/>
    </row>
    <row r="98" spans="1:11" s="109" customFormat="1">
      <c r="A98" s="46"/>
      <c r="B98" s="46"/>
      <c r="C98" s="46"/>
      <c r="D98" s="46"/>
      <c r="E98" s="46"/>
      <c r="F98" s="46"/>
      <c r="G98" s="46"/>
      <c r="H98" s="46"/>
      <c r="K98" s="46"/>
    </row>
    <row r="99" spans="1:11" s="109" customFormat="1">
      <c r="A99" s="46"/>
      <c r="B99" s="46"/>
      <c r="C99" s="46"/>
      <c r="D99" s="46"/>
      <c r="E99" s="46"/>
      <c r="F99" s="46"/>
      <c r="G99" s="46"/>
      <c r="H99" s="46"/>
      <c r="K99" s="46"/>
    </row>
  </sheetData>
  <mergeCells count="8">
    <mergeCell ref="B63:C63"/>
    <mergeCell ref="B64:C64"/>
    <mergeCell ref="A2:J2"/>
    <mergeCell ref="A3:J3"/>
    <mergeCell ref="A4:J4"/>
    <mergeCell ref="B60:C60"/>
    <mergeCell ref="B61:C61"/>
    <mergeCell ref="B62:C62"/>
  </mergeCells>
  <printOptions horizontalCentered="1"/>
  <pageMargins left="0.02" right="0.15" top="0.39" bottom="0.1" header="0.21" footer="0.1"/>
  <pageSetup scale="84" orientation="portrait" horizontalDpi="4294967294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N99"/>
  <sheetViews>
    <sheetView workbookViewId="0">
      <selection activeCell="D21" sqref="D21"/>
    </sheetView>
  </sheetViews>
  <sheetFormatPr defaultRowHeight="12.75"/>
  <cols>
    <col min="1" max="1" width="6" style="46" customWidth="1"/>
    <col min="2" max="3" width="9.140625" style="46"/>
    <col min="4" max="4" width="16.5703125" style="46" customWidth="1"/>
    <col min="5" max="6" width="13.85546875" style="46" customWidth="1"/>
    <col min="7" max="7" width="10" style="46" customWidth="1"/>
    <col min="8" max="8" width="11.5703125" style="46" customWidth="1"/>
    <col min="9" max="9" width="11.42578125" style="46" customWidth="1"/>
    <col min="10" max="10" width="13.28515625" style="109" customWidth="1"/>
    <col min="11" max="11" width="15.7109375" style="46" customWidth="1"/>
    <col min="12" max="12" width="16.85546875" style="109" customWidth="1"/>
    <col min="13" max="13" width="17" style="109" customWidth="1"/>
    <col min="14" max="14" width="17" style="46" customWidth="1"/>
    <col min="15" max="16384" width="9.140625" style="46"/>
  </cols>
  <sheetData>
    <row r="1" spans="1:13">
      <c r="A1" s="47"/>
      <c r="B1" s="48"/>
      <c r="C1" s="48"/>
      <c r="D1" s="48"/>
      <c r="E1" s="48"/>
      <c r="F1" s="48"/>
      <c r="G1" s="48"/>
      <c r="H1" s="48"/>
      <c r="I1" s="48"/>
      <c r="J1" s="169" t="s">
        <v>81</v>
      </c>
    </row>
    <row r="2" spans="1:13">
      <c r="A2" s="389" t="s">
        <v>80</v>
      </c>
      <c r="B2" s="390"/>
      <c r="C2" s="390"/>
      <c r="D2" s="390"/>
      <c r="E2" s="390"/>
      <c r="F2" s="390"/>
      <c r="G2" s="390"/>
      <c r="H2" s="390"/>
      <c r="I2" s="390"/>
      <c r="J2" s="391"/>
    </row>
    <row r="3" spans="1:13">
      <c r="A3" s="389" t="s">
        <v>338</v>
      </c>
      <c r="B3" s="390"/>
      <c r="C3" s="390"/>
      <c r="D3" s="390"/>
      <c r="E3" s="390"/>
      <c r="F3" s="390"/>
      <c r="G3" s="390"/>
      <c r="H3" s="390"/>
      <c r="I3" s="390"/>
      <c r="J3" s="391"/>
    </row>
    <row r="4" spans="1:13">
      <c r="A4" s="389"/>
      <c r="B4" s="390"/>
      <c r="C4" s="390"/>
      <c r="D4" s="390"/>
      <c r="E4" s="390"/>
      <c r="F4" s="390"/>
      <c r="G4" s="390"/>
      <c r="H4" s="390"/>
      <c r="I4" s="390"/>
      <c r="J4" s="391"/>
    </row>
    <row r="5" spans="1:13">
      <c r="A5" s="54" t="s">
        <v>77</v>
      </c>
      <c r="B5" s="375"/>
      <c r="C5" s="375"/>
      <c r="D5" s="375"/>
      <c r="E5" s="375"/>
      <c r="F5" s="375"/>
      <c r="G5" s="375"/>
      <c r="H5" s="375"/>
      <c r="I5" s="375"/>
      <c r="J5" s="170"/>
    </row>
    <row r="6" spans="1:13">
      <c r="A6" s="54" t="s">
        <v>76</v>
      </c>
      <c r="B6" s="55"/>
      <c r="C6" s="55"/>
      <c r="D6" s="55"/>
      <c r="E6" s="55"/>
      <c r="F6" s="55"/>
      <c r="G6" s="55"/>
      <c r="H6" s="55" t="s">
        <v>278</v>
      </c>
      <c r="I6" s="55"/>
      <c r="J6" s="171"/>
      <c r="K6" s="46" t="s">
        <v>210</v>
      </c>
    </row>
    <row r="7" spans="1:13">
      <c r="A7" s="47"/>
      <c r="B7" s="48"/>
      <c r="C7" s="48"/>
      <c r="D7" s="49"/>
      <c r="E7" s="88" t="s">
        <v>8</v>
      </c>
      <c r="F7" s="50"/>
      <c r="G7" s="52"/>
      <c r="H7" s="52"/>
      <c r="I7" s="53"/>
      <c r="J7" s="110"/>
    </row>
    <row r="8" spans="1:13">
      <c r="A8" s="54"/>
      <c r="B8" s="55"/>
      <c r="C8" s="55"/>
      <c r="D8" s="56"/>
      <c r="E8" s="374" t="s">
        <v>9</v>
      </c>
      <c r="F8" s="53"/>
      <c r="G8" s="59"/>
      <c r="H8" s="59"/>
      <c r="I8" s="58"/>
      <c r="J8" s="111"/>
    </row>
    <row r="9" spans="1:13">
      <c r="A9" s="61" t="s">
        <v>68</v>
      </c>
      <c r="B9" s="55"/>
      <c r="C9" s="55"/>
      <c r="D9" s="56"/>
      <c r="E9" s="374" t="s">
        <v>10</v>
      </c>
      <c r="F9" s="60" t="s">
        <v>12</v>
      </c>
      <c r="G9" s="60" t="s">
        <v>14</v>
      </c>
      <c r="H9" s="60" t="s">
        <v>20</v>
      </c>
      <c r="I9" s="60" t="s">
        <v>22</v>
      </c>
      <c r="J9" s="112" t="s">
        <v>24</v>
      </c>
    </row>
    <row r="10" spans="1:13">
      <c r="A10" s="54"/>
      <c r="B10" s="55"/>
      <c r="C10" s="55"/>
      <c r="D10" s="56"/>
      <c r="E10" s="374" t="s">
        <v>11</v>
      </c>
      <c r="F10" s="60" t="s">
        <v>13</v>
      </c>
      <c r="G10" s="59"/>
      <c r="H10" s="60" t="s">
        <v>21</v>
      </c>
      <c r="I10" s="60" t="s">
        <v>23</v>
      </c>
      <c r="J10" s="111"/>
    </row>
    <row r="11" spans="1:13">
      <c r="A11" s="62"/>
      <c r="B11" s="63"/>
      <c r="C11" s="63"/>
      <c r="D11" s="64"/>
      <c r="E11" s="65">
        <v>0.3</v>
      </c>
      <c r="F11" s="66">
        <v>0.7</v>
      </c>
      <c r="G11" s="59"/>
      <c r="H11" s="67"/>
      <c r="I11" s="68"/>
      <c r="J11" s="113"/>
    </row>
    <row r="12" spans="1:13" ht="18" customHeight="1">
      <c r="A12" s="70" t="s">
        <v>0</v>
      </c>
      <c r="B12" s="71"/>
      <c r="C12" s="71"/>
      <c r="D12" s="72"/>
      <c r="E12" s="51"/>
      <c r="F12" s="51"/>
      <c r="G12" s="51"/>
      <c r="H12" s="51"/>
      <c r="I12" s="51"/>
      <c r="J12" s="110"/>
      <c r="L12" s="373" t="s">
        <v>90</v>
      </c>
      <c r="M12" s="373" t="s">
        <v>89</v>
      </c>
    </row>
    <row r="13" spans="1:13" ht="18" customHeight="1">
      <c r="A13" s="73" t="s">
        <v>1</v>
      </c>
      <c r="B13" s="72"/>
      <c r="C13" s="72"/>
      <c r="D13" s="72"/>
      <c r="E13" s="94">
        <f>M19*0.3</f>
        <v>276345.87975000008</v>
      </c>
      <c r="F13" s="94">
        <f>M19*0.7</f>
        <v>644807.05275000015</v>
      </c>
      <c r="G13" s="94"/>
      <c r="H13" s="94"/>
      <c r="I13" s="94"/>
      <c r="J13" s="294">
        <f>SUM(E13:I13)</f>
        <v>921152.93250000023</v>
      </c>
      <c r="K13" s="175"/>
      <c r="L13" s="109">
        <v>21367644.399999999</v>
      </c>
      <c r="M13" s="109">
        <v>4171566.4</v>
      </c>
    </row>
    <row r="14" spans="1:13" ht="18" customHeight="1">
      <c r="A14" s="73" t="s">
        <v>2</v>
      </c>
      <c r="B14" s="72"/>
      <c r="C14" s="72"/>
      <c r="D14" s="72"/>
      <c r="E14" s="102"/>
      <c r="F14" s="102"/>
      <c r="G14" s="102"/>
      <c r="H14" s="102"/>
      <c r="I14" s="102"/>
      <c r="J14" s="380"/>
      <c r="K14" s="117" t="s">
        <v>88</v>
      </c>
      <c r="L14" s="109">
        <v>9400000</v>
      </c>
      <c r="M14" s="109">
        <v>5637398.9699999997</v>
      </c>
    </row>
    <row r="15" spans="1:13" ht="18" customHeight="1">
      <c r="A15" s="75" t="s">
        <v>3</v>
      </c>
      <c r="B15" s="48"/>
      <c r="C15" s="48"/>
      <c r="D15" s="48"/>
      <c r="E15" s="102"/>
      <c r="F15" s="102"/>
      <c r="G15" s="102"/>
      <c r="H15" s="102"/>
      <c r="I15" s="102"/>
      <c r="J15" s="110"/>
      <c r="L15" s="116">
        <f>SUM(L13:L14)</f>
        <v>30767644.399999999</v>
      </c>
      <c r="M15" s="116">
        <f>SUM(M13:M14)</f>
        <v>9808965.3699999992</v>
      </c>
    </row>
    <row r="16" spans="1:13" ht="18" customHeight="1">
      <c r="A16" s="76" t="s">
        <v>78</v>
      </c>
      <c r="B16" s="55"/>
      <c r="C16" s="55"/>
      <c r="D16" s="55"/>
      <c r="E16" s="103"/>
      <c r="F16" s="103"/>
      <c r="G16" s="103"/>
      <c r="H16" s="103"/>
      <c r="I16" s="103"/>
      <c r="J16" s="379"/>
      <c r="K16" s="46">
        <v>11930281.960000001</v>
      </c>
    </row>
    <row r="17" spans="1:14" ht="18" customHeight="1">
      <c r="A17" s="77" t="s">
        <v>79</v>
      </c>
      <c r="B17" s="72"/>
      <c r="C17" s="72"/>
      <c r="D17" s="72"/>
      <c r="E17" s="94"/>
      <c r="F17" s="94"/>
      <c r="G17" s="94"/>
      <c r="H17" s="94"/>
      <c r="I17" s="94"/>
      <c r="J17" s="113">
        <f>SUM(E17:I17)</f>
        <v>0</v>
      </c>
      <c r="K17" s="173">
        <f>K16-J16</f>
        <v>11930281.960000001</v>
      </c>
      <c r="M17" s="109">
        <v>25936573.030000001</v>
      </c>
    </row>
    <row r="18" spans="1:14" ht="18" customHeight="1">
      <c r="A18" s="70" t="s">
        <v>7</v>
      </c>
      <c r="B18" s="72"/>
      <c r="C18" s="72"/>
      <c r="D18" s="72"/>
      <c r="E18" s="119">
        <f>SUM(E13:E17)</f>
        <v>276345.87975000008</v>
      </c>
      <c r="F18" s="119">
        <f t="shared" ref="F18:J18" si="0">SUM(F13:F17)</f>
        <v>644807.05275000015</v>
      </c>
      <c r="G18" s="119">
        <f t="shared" si="0"/>
        <v>0</v>
      </c>
      <c r="H18" s="119">
        <f t="shared" si="0"/>
        <v>0</v>
      </c>
      <c r="I18" s="119">
        <f t="shared" si="0"/>
        <v>0</v>
      </c>
      <c r="J18" s="305">
        <f t="shared" si="0"/>
        <v>921152.93250000023</v>
      </c>
      <c r="K18" s="166">
        <f t="shared" ref="K18:K45" si="1">SUM(E18:I18)</f>
        <v>921152.93250000023</v>
      </c>
      <c r="L18" s="193" t="s">
        <v>171</v>
      </c>
      <c r="M18" s="192">
        <f>267282115.25-248859056.6</f>
        <v>18423058.650000006</v>
      </c>
    </row>
    <row r="19" spans="1:14" s="109" customFormat="1" ht="18" customHeight="1">
      <c r="A19" s="74" t="s">
        <v>99</v>
      </c>
      <c r="B19" s="72" t="s">
        <v>100</v>
      </c>
      <c r="C19" s="72"/>
      <c r="D19" s="72"/>
      <c r="E19" s="94">
        <f>'DRRM Funds -Feb''17 '!E46</f>
        <v>35426983.989</v>
      </c>
      <c r="F19" s="94">
        <f>'DRRM Funds -Feb''17 '!F46</f>
        <v>32201872.750999998</v>
      </c>
      <c r="G19" s="94">
        <f>'DRRM Funds -Feb''17 '!G46</f>
        <v>0</v>
      </c>
      <c r="H19" s="94">
        <f>'DRRM Funds -Feb''17 '!H46</f>
        <v>0</v>
      </c>
      <c r="I19" s="94">
        <f>'DRRM Funds -Feb''17 '!I46</f>
        <v>0</v>
      </c>
      <c r="J19" s="94">
        <f>'DRRM Funds -Feb''17 '!J46</f>
        <v>67628856.74000001</v>
      </c>
      <c r="K19" s="166">
        <f t="shared" si="1"/>
        <v>67628856.739999995</v>
      </c>
      <c r="L19" s="194">
        <v>0.05</v>
      </c>
      <c r="M19" s="269">
        <f>M18*0.05</f>
        <v>921152.93250000034</v>
      </c>
    </row>
    <row r="20" spans="1:14" s="109" customFormat="1" ht="18" customHeight="1">
      <c r="A20" s="70" t="s">
        <v>101</v>
      </c>
      <c r="B20" s="122"/>
      <c r="C20" s="72"/>
      <c r="D20" s="72"/>
      <c r="E20" s="119">
        <f>SUM(E18:E19)</f>
        <v>35703329.868749999</v>
      </c>
      <c r="F20" s="119">
        <f t="shared" ref="F20:J20" si="2">SUM(F18:F19)</f>
        <v>32846679.803749997</v>
      </c>
      <c r="G20" s="119">
        <f t="shared" si="2"/>
        <v>0</v>
      </c>
      <c r="H20" s="119">
        <f t="shared" si="2"/>
        <v>0</v>
      </c>
      <c r="I20" s="119">
        <f t="shared" si="2"/>
        <v>0</v>
      </c>
      <c r="J20" s="119">
        <f t="shared" si="2"/>
        <v>68550009.672500014</v>
      </c>
      <c r="K20" s="166">
        <f t="shared" si="1"/>
        <v>68550009.672499999</v>
      </c>
    </row>
    <row r="21" spans="1:14" ht="18" customHeight="1">
      <c r="A21" s="70" t="s">
        <v>15</v>
      </c>
      <c r="B21" s="72"/>
      <c r="C21" s="72"/>
      <c r="D21" s="72"/>
      <c r="E21" s="94"/>
      <c r="F21" s="94"/>
      <c r="G21" s="94"/>
      <c r="H21" s="94"/>
      <c r="I21" s="94"/>
      <c r="J21" s="114"/>
      <c r="K21" s="166">
        <f t="shared" si="1"/>
        <v>0</v>
      </c>
      <c r="M21" s="109">
        <v>26972032.48</v>
      </c>
    </row>
    <row r="22" spans="1:14" ht="18" customHeight="1">
      <c r="A22" s="77" t="s">
        <v>206</v>
      </c>
      <c r="B22" s="263"/>
      <c r="C22" s="263"/>
      <c r="D22" s="263"/>
      <c r="E22" s="94"/>
      <c r="F22" s="94"/>
      <c r="G22" s="94"/>
      <c r="H22" s="94"/>
      <c r="I22" s="94"/>
      <c r="J22" s="114">
        <f>SUM(E22:I22)</f>
        <v>0</v>
      </c>
      <c r="K22" s="166"/>
    </row>
    <row r="23" spans="1:14" ht="18" customHeight="1">
      <c r="A23" s="77" t="s">
        <v>251</v>
      </c>
      <c r="B23" s="263"/>
      <c r="C23" s="263"/>
      <c r="D23" s="263"/>
      <c r="E23" s="94"/>
      <c r="F23" s="94"/>
      <c r="G23" s="94"/>
      <c r="H23" s="94"/>
      <c r="I23" s="94"/>
      <c r="J23" s="114">
        <f t="shared" ref="J23:J42" si="3">SUM(E23:I23)</f>
        <v>0</v>
      </c>
      <c r="K23" s="166">
        <f t="shared" si="1"/>
        <v>0</v>
      </c>
      <c r="L23" s="176">
        <f>518731460.56*0.05</f>
        <v>25936573.028000001</v>
      </c>
      <c r="M23" s="109">
        <v>125607.13</v>
      </c>
    </row>
    <row r="24" spans="1:14" ht="18" customHeight="1">
      <c r="A24" s="290" t="s">
        <v>229</v>
      </c>
      <c r="B24" s="291"/>
      <c r="C24" s="291"/>
      <c r="D24" s="291"/>
      <c r="E24" s="292"/>
      <c r="F24" s="292">
        <v>8187</v>
      </c>
      <c r="G24" s="292"/>
      <c r="H24" s="292"/>
      <c r="I24" s="292"/>
      <c r="J24" s="114">
        <f t="shared" si="3"/>
        <v>8187</v>
      </c>
      <c r="K24" s="166"/>
      <c r="L24" s="228"/>
    </row>
    <row r="25" spans="1:14" ht="18" customHeight="1">
      <c r="A25" s="290" t="s">
        <v>252</v>
      </c>
      <c r="B25" s="291"/>
      <c r="C25" s="291"/>
      <c r="D25" s="291"/>
      <c r="E25" s="292"/>
      <c r="F25" s="292">
        <f>231912.68+87000</f>
        <v>318912.68</v>
      </c>
      <c r="G25" s="292"/>
      <c r="H25" s="292"/>
      <c r="I25" s="292"/>
      <c r="J25" s="114">
        <f t="shared" si="3"/>
        <v>318912.68</v>
      </c>
      <c r="K25" s="166">
        <f t="shared" si="1"/>
        <v>318912.68</v>
      </c>
      <c r="M25" s="232" t="s">
        <v>335</v>
      </c>
    </row>
    <row r="26" spans="1:14" ht="18" customHeight="1">
      <c r="A26" s="290" t="s">
        <v>276</v>
      </c>
      <c r="B26" s="291"/>
      <c r="C26" s="291"/>
      <c r="D26" s="291"/>
      <c r="E26" s="292"/>
      <c r="F26" s="292">
        <v>673811.12</v>
      </c>
      <c r="G26" s="292"/>
      <c r="H26" s="292"/>
      <c r="I26" s="292"/>
      <c r="J26" s="294">
        <f t="shared" si="3"/>
        <v>673811.12</v>
      </c>
      <c r="K26" s="166">
        <f t="shared" si="1"/>
        <v>673811.12</v>
      </c>
      <c r="M26" s="229">
        <v>375607.13</v>
      </c>
      <c r="N26" s="46" t="s">
        <v>230</v>
      </c>
    </row>
    <row r="27" spans="1:14" ht="18" customHeight="1">
      <c r="A27" s="293" t="s">
        <v>275</v>
      </c>
      <c r="B27" s="291"/>
      <c r="C27" s="291"/>
      <c r="D27" s="291"/>
      <c r="E27" s="292"/>
      <c r="F27" s="292"/>
      <c r="G27" s="292"/>
      <c r="H27" s="292"/>
      <c r="I27" s="292"/>
      <c r="J27" s="114">
        <f t="shared" si="3"/>
        <v>0</v>
      </c>
      <c r="K27" s="166">
        <f t="shared" si="1"/>
        <v>0</v>
      </c>
      <c r="M27" s="229">
        <v>820000</v>
      </c>
      <c r="N27" s="46" t="s">
        <v>232</v>
      </c>
    </row>
    <row r="28" spans="1:14" ht="18" customHeight="1">
      <c r="A28" s="290" t="s">
        <v>339</v>
      </c>
      <c r="B28" s="291"/>
      <c r="C28" s="291"/>
      <c r="D28" s="291"/>
      <c r="E28" s="292"/>
      <c r="F28" s="292"/>
      <c r="G28" s="292"/>
      <c r="H28" s="292"/>
      <c r="I28" s="292"/>
      <c r="J28" s="114">
        <f t="shared" si="3"/>
        <v>0</v>
      </c>
      <c r="K28" s="166">
        <f t="shared" si="1"/>
        <v>0</v>
      </c>
      <c r="M28" s="229">
        <v>1470000</v>
      </c>
      <c r="N28" s="46" t="s">
        <v>233</v>
      </c>
    </row>
    <row r="29" spans="1:14" ht="18" customHeight="1">
      <c r="A29" s="290" t="s">
        <v>227</v>
      </c>
      <c r="B29" s="291"/>
      <c r="C29" s="291"/>
      <c r="D29" s="291"/>
      <c r="E29" s="292"/>
      <c r="F29" s="292"/>
      <c r="G29" s="292"/>
      <c r="H29" s="292"/>
      <c r="I29" s="292"/>
      <c r="J29" s="114">
        <f t="shared" si="3"/>
        <v>0</v>
      </c>
      <c r="K29" s="166">
        <f t="shared" si="1"/>
        <v>0</v>
      </c>
      <c r="L29" s="376"/>
      <c r="M29" s="229">
        <v>3821228.76</v>
      </c>
      <c r="N29" s="46" t="s">
        <v>231</v>
      </c>
    </row>
    <row r="30" spans="1:14" ht="18" customHeight="1">
      <c r="A30" s="290" t="s">
        <v>273</v>
      </c>
      <c r="B30" s="291"/>
      <c r="C30" s="291"/>
      <c r="D30" s="291"/>
      <c r="E30" s="292"/>
      <c r="F30" s="292"/>
      <c r="G30" s="292"/>
      <c r="H30" s="292"/>
      <c r="I30" s="292"/>
      <c r="J30" s="114">
        <f t="shared" si="3"/>
        <v>0</v>
      </c>
      <c r="K30" s="166"/>
      <c r="L30" s="376"/>
      <c r="M30" s="229">
        <v>6109630</v>
      </c>
      <c r="N30" s="46" t="s">
        <v>234</v>
      </c>
    </row>
    <row r="31" spans="1:14" ht="18" customHeight="1">
      <c r="A31" s="290" t="s">
        <v>213</v>
      </c>
      <c r="B31" s="291"/>
      <c r="C31" s="291"/>
      <c r="D31" s="291"/>
      <c r="E31" s="292"/>
      <c r="F31" s="292"/>
      <c r="G31" s="292"/>
      <c r="H31" s="292"/>
      <c r="I31" s="292"/>
      <c r="J31" s="114">
        <f t="shared" si="3"/>
        <v>0</v>
      </c>
      <c r="K31" s="166"/>
      <c r="L31" s="376"/>
      <c r="M31" s="377">
        <v>3363100</v>
      </c>
      <c r="N31" s="46" t="s">
        <v>235</v>
      </c>
    </row>
    <row r="32" spans="1:14" ht="18" customHeight="1">
      <c r="A32" s="290" t="s">
        <v>250</v>
      </c>
      <c r="B32" s="291"/>
      <c r="C32" s="291"/>
      <c r="D32" s="291"/>
      <c r="E32" s="292"/>
      <c r="F32" s="292">
        <v>11875</v>
      </c>
      <c r="G32" s="292"/>
      <c r="H32" s="292"/>
      <c r="I32" s="292"/>
      <c r="J32" s="114">
        <f t="shared" si="3"/>
        <v>11875</v>
      </c>
      <c r="K32" s="166"/>
      <c r="L32" s="376"/>
      <c r="M32" s="230">
        <v>45000</v>
      </c>
      <c r="N32" s="46" t="s">
        <v>336</v>
      </c>
    </row>
    <row r="33" spans="1:13" ht="18" customHeight="1">
      <c r="A33" s="290" t="s">
        <v>214</v>
      </c>
      <c r="B33" s="291"/>
      <c r="C33" s="291"/>
      <c r="D33" s="291"/>
      <c r="E33" s="292"/>
      <c r="F33" s="292"/>
      <c r="G33" s="292"/>
      <c r="H33" s="292"/>
      <c r="I33" s="292"/>
      <c r="J33" s="114">
        <f t="shared" si="3"/>
        <v>0</v>
      </c>
      <c r="K33" s="227"/>
      <c r="L33" s="376"/>
      <c r="M33" s="289">
        <f>SUM(M26:M32)</f>
        <v>16004565.890000001</v>
      </c>
    </row>
    <row r="34" spans="1:13" ht="18" customHeight="1">
      <c r="A34" s="290" t="s">
        <v>249</v>
      </c>
      <c r="B34" s="291"/>
      <c r="C34" s="291"/>
      <c r="D34" s="291"/>
      <c r="E34" s="292"/>
      <c r="F34" s="292"/>
      <c r="G34" s="292"/>
      <c r="H34" s="292"/>
      <c r="I34" s="292"/>
      <c r="J34" s="114">
        <f t="shared" si="3"/>
        <v>0</v>
      </c>
      <c r="K34" s="265"/>
      <c r="L34" s="376"/>
    </row>
    <row r="35" spans="1:13" ht="18" customHeight="1">
      <c r="A35" s="290" t="s">
        <v>222</v>
      </c>
      <c r="B35" s="291"/>
      <c r="C35" s="291"/>
      <c r="D35" s="291"/>
      <c r="E35" s="292"/>
      <c r="F35" s="292"/>
      <c r="G35" s="292"/>
      <c r="H35" s="292"/>
      <c r="I35" s="292"/>
      <c r="J35" s="114">
        <f t="shared" si="3"/>
        <v>0</v>
      </c>
      <c r="K35" s="266">
        <f t="shared" si="1"/>
        <v>0</v>
      </c>
      <c r="L35" s="109">
        <f>SUM(F29:F35)</f>
        <v>11875</v>
      </c>
    </row>
    <row r="36" spans="1:13" ht="18" customHeight="1">
      <c r="A36" s="290" t="s">
        <v>223</v>
      </c>
      <c r="B36" s="291"/>
      <c r="C36" s="291"/>
      <c r="D36" s="291"/>
      <c r="E36" s="292"/>
      <c r="F36" s="292"/>
      <c r="G36" s="292"/>
      <c r="H36" s="292"/>
      <c r="I36" s="292"/>
      <c r="J36" s="114">
        <f t="shared" si="3"/>
        <v>0</v>
      </c>
      <c r="K36" s="166">
        <f t="shared" si="1"/>
        <v>0</v>
      </c>
      <c r="L36" s="109">
        <v>147060</v>
      </c>
    </row>
    <row r="37" spans="1:13" ht="18" customHeight="1">
      <c r="A37" s="290" t="s">
        <v>168</v>
      </c>
      <c r="B37" s="291"/>
      <c r="C37" s="291"/>
      <c r="D37" s="291"/>
      <c r="E37" s="292"/>
      <c r="F37" s="292"/>
      <c r="G37" s="292"/>
      <c r="H37" s="292"/>
      <c r="I37" s="292"/>
      <c r="J37" s="114">
        <f t="shared" si="3"/>
        <v>0</v>
      </c>
      <c r="K37" s="166">
        <f t="shared" si="1"/>
        <v>0</v>
      </c>
    </row>
    <row r="38" spans="1:13" ht="18" customHeight="1">
      <c r="A38" s="290" t="s">
        <v>293</v>
      </c>
      <c r="B38" s="291"/>
      <c r="C38" s="291"/>
      <c r="D38" s="291"/>
      <c r="E38" s="292"/>
      <c r="F38" s="292"/>
      <c r="G38" s="292"/>
      <c r="H38" s="292"/>
      <c r="I38" s="292"/>
      <c r="J38" s="114">
        <f t="shared" si="3"/>
        <v>0</v>
      </c>
      <c r="K38" s="166">
        <f t="shared" si="1"/>
        <v>0</v>
      </c>
      <c r="L38" s="109">
        <v>1555500</v>
      </c>
    </row>
    <row r="39" spans="1:13" ht="18" customHeight="1">
      <c r="A39" s="290" t="s">
        <v>340</v>
      </c>
      <c r="B39" s="291"/>
      <c r="C39" s="291"/>
      <c r="D39" s="291"/>
      <c r="E39" s="292"/>
      <c r="F39" s="292">
        <v>12800</v>
      </c>
      <c r="G39" s="292"/>
      <c r="H39" s="292"/>
      <c r="I39" s="292"/>
      <c r="J39" s="114">
        <f t="shared" si="3"/>
        <v>12800</v>
      </c>
      <c r="K39" s="166"/>
    </row>
    <row r="40" spans="1:13" ht="18" customHeight="1">
      <c r="A40" s="83" t="s">
        <v>94</v>
      </c>
      <c r="B40" s="263"/>
      <c r="C40" s="263"/>
      <c r="D40" s="263"/>
      <c r="E40" s="94"/>
      <c r="F40" s="94"/>
      <c r="G40" s="94"/>
      <c r="H40" s="94"/>
      <c r="I40" s="94"/>
      <c r="J40" s="114">
        <f t="shared" si="3"/>
        <v>0</v>
      </c>
      <c r="K40" s="166">
        <f t="shared" si="1"/>
        <v>0</v>
      </c>
      <c r="L40" s="109">
        <v>177000</v>
      </c>
    </row>
    <row r="41" spans="1:13" ht="18" customHeight="1">
      <c r="A41" s="83" t="s">
        <v>95</v>
      </c>
      <c r="B41" s="263"/>
      <c r="C41" s="263"/>
      <c r="D41" s="263"/>
      <c r="E41" s="94"/>
      <c r="F41" s="94"/>
      <c r="G41" s="94"/>
      <c r="H41" s="94"/>
      <c r="I41" s="94"/>
      <c r="J41" s="114">
        <f t="shared" si="3"/>
        <v>0</v>
      </c>
      <c r="K41" s="166">
        <f t="shared" si="1"/>
        <v>0</v>
      </c>
      <c r="L41" s="109">
        <v>204055</v>
      </c>
    </row>
    <row r="42" spans="1:13" ht="18" customHeight="1">
      <c r="A42" s="77" t="s">
        <v>96</v>
      </c>
      <c r="B42" s="263"/>
      <c r="C42" s="263"/>
      <c r="D42" s="263"/>
      <c r="E42" s="94"/>
      <c r="F42" s="102"/>
      <c r="G42" s="94"/>
      <c r="H42" s="94"/>
      <c r="I42" s="94"/>
      <c r="J42" s="114">
        <f t="shared" si="3"/>
        <v>0</v>
      </c>
      <c r="K42" s="166">
        <f t="shared" si="1"/>
        <v>0</v>
      </c>
      <c r="L42" s="109">
        <v>71070</v>
      </c>
    </row>
    <row r="43" spans="1:13" ht="18" customHeight="1">
      <c r="A43" s="84" t="s">
        <v>92</v>
      </c>
      <c r="B43" s="63"/>
      <c r="C43" s="63"/>
      <c r="D43" s="63"/>
      <c r="E43" s="89">
        <f>SUM(E22:E42)</f>
        <v>0</v>
      </c>
      <c r="F43" s="303">
        <f>SUM(F22:F42)</f>
        <v>1025585.8</v>
      </c>
      <c r="G43" s="304">
        <f>SUM(G22:G42)</f>
        <v>0</v>
      </c>
      <c r="H43" s="94">
        <f t="shared" ref="H43:J43" si="4">SUM(H22:H42)</f>
        <v>0</v>
      </c>
      <c r="I43" s="94">
        <f t="shared" si="4"/>
        <v>0</v>
      </c>
      <c r="J43" s="292">
        <f t="shared" si="4"/>
        <v>1025585.8</v>
      </c>
      <c r="K43" s="166">
        <f t="shared" si="1"/>
        <v>1025585.8</v>
      </c>
      <c r="L43" s="109">
        <v>27800</v>
      </c>
      <c r="M43" s="46"/>
    </row>
    <row r="44" spans="1:13" ht="18" customHeight="1">
      <c r="A44" s="84" t="s">
        <v>103</v>
      </c>
      <c r="B44" s="63"/>
      <c r="C44" s="63"/>
      <c r="D44" s="63"/>
      <c r="E44" s="103">
        <f>'DRRM Funds -Feb''17 '!E45</f>
        <v>0</v>
      </c>
      <c r="F44" s="103">
        <f>'DRRM Funds -Feb''17 '!F45</f>
        <v>1163182.4899999998</v>
      </c>
      <c r="G44" s="103">
        <f>'DRRM Funds -Feb''17 '!G45</f>
        <v>0</v>
      </c>
      <c r="H44" s="103">
        <f>'DRRM Funds -Feb''17 '!H45</f>
        <v>0</v>
      </c>
      <c r="I44" s="103">
        <f>'DRRM Funds -Feb''17 '!I45</f>
        <v>0</v>
      </c>
      <c r="J44" s="103">
        <f>'DRRM Funds -Feb''17 '!J45</f>
        <v>1163182.4899999998</v>
      </c>
      <c r="K44" s="166">
        <f t="shared" si="1"/>
        <v>1163182.4899999998</v>
      </c>
      <c r="L44" s="109">
        <v>126865</v>
      </c>
      <c r="M44" s="109">
        <f>SUM(E44:H44)</f>
        <v>1163182.4899999998</v>
      </c>
    </row>
    <row r="45" spans="1:13" ht="18" customHeight="1">
      <c r="A45" s="84" t="s">
        <v>104</v>
      </c>
      <c r="B45" s="63"/>
      <c r="C45" s="63"/>
      <c r="D45" s="63"/>
      <c r="E45" s="103">
        <f>SUM(E43:E44)</f>
        <v>0</v>
      </c>
      <c r="F45" s="103">
        <f t="shared" ref="F45:J45" si="5">SUM(F43:F44)</f>
        <v>2188768.29</v>
      </c>
      <c r="G45" s="103">
        <f t="shared" si="5"/>
        <v>0</v>
      </c>
      <c r="H45" s="103">
        <f t="shared" si="5"/>
        <v>0</v>
      </c>
      <c r="I45" s="103">
        <f t="shared" si="5"/>
        <v>0</v>
      </c>
      <c r="J45" s="103">
        <f t="shared" si="5"/>
        <v>2188768.29</v>
      </c>
      <c r="K45" s="166">
        <f t="shared" si="1"/>
        <v>2188768.29</v>
      </c>
      <c r="L45" s="174">
        <f>SUM(L35:L44)</f>
        <v>2321225</v>
      </c>
      <c r="M45" s="109">
        <v>10492358.970000001</v>
      </c>
    </row>
    <row r="46" spans="1:13" ht="18" customHeight="1">
      <c r="A46" s="70" t="s">
        <v>93</v>
      </c>
      <c r="B46" s="72"/>
      <c r="C46" s="72"/>
      <c r="D46" s="80"/>
      <c r="E46" s="231">
        <f t="shared" ref="E46:J46" si="6">E20-E43</f>
        <v>35703329.868749999</v>
      </c>
      <c r="F46" s="231">
        <f t="shared" si="6"/>
        <v>31821094.003749996</v>
      </c>
      <c r="G46" s="231">
        <f t="shared" si="6"/>
        <v>0</v>
      </c>
      <c r="H46" s="231">
        <f t="shared" si="6"/>
        <v>0</v>
      </c>
      <c r="I46" s="231">
        <f t="shared" si="6"/>
        <v>0</v>
      </c>
      <c r="J46" s="378">
        <f t="shared" si="6"/>
        <v>67524423.872500017</v>
      </c>
      <c r="K46" s="166">
        <f>SUM(E46:I46)</f>
        <v>67524423.872500002</v>
      </c>
      <c r="L46" s="46"/>
      <c r="M46" s="109">
        <f>M45-L45</f>
        <v>8171133.9700000007</v>
      </c>
    </row>
    <row r="47" spans="1:13" ht="18" customHeight="1">
      <c r="A47" s="55"/>
      <c r="B47" s="55"/>
      <c r="C47" s="55"/>
      <c r="D47" s="55"/>
      <c r="E47" s="55"/>
      <c r="F47" s="55"/>
      <c r="G47" s="55"/>
      <c r="H47" s="55"/>
      <c r="I47" s="55"/>
      <c r="J47" s="115" t="s">
        <v>74</v>
      </c>
      <c r="K47" s="92">
        <f>SUM(E46:F46)</f>
        <v>67524423.872500002</v>
      </c>
      <c r="M47" s="109">
        <v>0</v>
      </c>
    </row>
    <row r="48" spans="1:13">
      <c r="A48" s="55" t="s">
        <v>83</v>
      </c>
      <c r="B48" s="55"/>
      <c r="C48" s="55"/>
      <c r="D48" s="55"/>
      <c r="E48" s="55"/>
      <c r="F48" s="55"/>
      <c r="G48" s="55"/>
      <c r="H48" s="55" t="s">
        <v>29</v>
      </c>
      <c r="I48" s="55"/>
      <c r="J48" s="115"/>
      <c r="K48" s="55"/>
      <c r="L48" s="109">
        <v>752760</v>
      </c>
    </row>
    <row r="49" spans="1:13">
      <c r="A49" s="55"/>
      <c r="B49" s="55"/>
      <c r="C49" s="55"/>
      <c r="D49" s="55"/>
      <c r="E49" s="55"/>
      <c r="F49" s="55"/>
      <c r="G49" s="55"/>
      <c r="H49" s="55"/>
      <c r="I49" s="55"/>
      <c r="J49" s="115"/>
      <c r="K49" s="55"/>
      <c r="L49" s="109">
        <v>902075</v>
      </c>
    </row>
    <row r="50" spans="1:13">
      <c r="A50" s="82" t="s">
        <v>202</v>
      </c>
      <c r="B50" s="55"/>
      <c r="C50" s="55"/>
      <c r="D50" s="55"/>
      <c r="E50" s="55"/>
      <c r="F50" s="55"/>
      <c r="G50" s="55"/>
      <c r="K50" s="55"/>
      <c r="L50" s="109">
        <v>504234.65</v>
      </c>
      <c r="M50" s="109">
        <v>8736531.7100000009</v>
      </c>
    </row>
    <row r="51" spans="1:13">
      <c r="A51" s="140" t="s">
        <v>287</v>
      </c>
      <c r="B51" s="55"/>
      <c r="C51" s="55"/>
      <c r="D51" s="55"/>
      <c r="E51" s="121" t="s">
        <v>237</v>
      </c>
      <c r="F51" s="55"/>
      <c r="G51" s="55"/>
      <c r="H51" s="241" t="s">
        <v>72</v>
      </c>
      <c r="I51" s="55"/>
      <c r="J51" s="115"/>
      <c r="K51" s="55"/>
      <c r="L51" s="109">
        <v>899145</v>
      </c>
      <c r="M51" s="109">
        <v>10140</v>
      </c>
    </row>
    <row r="52" spans="1:13">
      <c r="A52" s="55"/>
      <c r="B52" s="55"/>
      <c r="C52" s="55"/>
      <c r="D52" s="55"/>
      <c r="G52" s="55"/>
      <c r="H52" s="140" t="s">
        <v>85</v>
      </c>
      <c r="I52" s="55"/>
      <c r="J52" s="115"/>
      <c r="K52" s="55"/>
      <c r="L52" s="109">
        <v>1087927.3999999999</v>
      </c>
      <c r="M52" s="109">
        <f>SUM(M50:M51)</f>
        <v>8746671.7100000009</v>
      </c>
    </row>
    <row r="53" spans="1:13">
      <c r="A53" s="55"/>
      <c r="B53" s="55"/>
      <c r="C53" s="55"/>
      <c r="D53" s="55"/>
      <c r="E53" s="115"/>
      <c r="F53" s="55"/>
      <c r="G53" s="55"/>
      <c r="H53" s="55"/>
      <c r="I53" s="115"/>
      <c r="J53" s="115"/>
      <c r="K53" s="55"/>
      <c r="L53" s="109">
        <v>2896515.5</v>
      </c>
    </row>
    <row r="54" spans="1:13">
      <c r="A54" s="55"/>
      <c r="B54" s="55"/>
      <c r="C54" s="55"/>
      <c r="D54" s="55"/>
      <c r="E54" s="82" t="s">
        <v>298</v>
      </c>
      <c r="F54" s="55"/>
      <c r="G54" s="55"/>
      <c r="H54" s="55"/>
      <c r="I54" s="115"/>
      <c r="J54" s="115"/>
      <c r="K54" s="55"/>
    </row>
    <row r="55" spans="1:13">
      <c r="A55" s="55"/>
      <c r="B55" s="55"/>
      <c r="C55" s="55"/>
      <c r="D55" s="55"/>
      <c r="E55" s="55" t="s">
        <v>299</v>
      </c>
      <c r="F55" s="55"/>
      <c r="G55" s="55"/>
      <c r="H55" s="55"/>
      <c r="I55" s="115"/>
      <c r="J55" s="115"/>
      <c r="K55" s="55"/>
      <c r="L55" s="109">
        <v>120000</v>
      </c>
    </row>
    <row r="56" spans="1:13">
      <c r="I56" s="109"/>
      <c r="M56" s="46"/>
    </row>
    <row r="57" spans="1:13">
      <c r="F57" s="121"/>
      <c r="I57" s="109"/>
      <c r="K57" s="55"/>
      <c r="L57" s="115">
        <v>630000</v>
      </c>
      <c r="M57" s="183">
        <v>10644424.82</v>
      </c>
    </row>
    <row r="58" spans="1:13">
      <c r="B58" s="276" t="s">
        <v>236</v>
      </c>
      <c r="F58" s="115"/>
      <c r="I58" s="109"/>
      <c r="J58" s="109">
        <v>7850000</v>
      </c>
      <c r="L58" s="109">
        <v>1000000</v>
      </c>
      <c r="M58" s="183">
        <v>13157941.960000001</v>
      </c>
    </row>
    <row r="59" spans="1:13">
      <c r="I59" s="109"/>
      <c r="J59" s="109">
        <v>800000</v>
      </c>
      <c r="L59" s="109">
        <v>1300000</v>
      </c>
      <c r="M59" s="184">
        <v>0</v>
      </c>
    </row>
    <row r="60" spans="1:13">
      <c r="A60" s="46" t="s">
        <v>282</v>
      </c>
      <c r="B60" s="392">
        <f>1493800+99900</f>
        <v>1593700</v>
      </c>
      <c r="C60" s="392"/>
      <c r="I60" s="109"/>
      <c r="J60" s="109">
        <v>1200000</v>
      </c>
      <c r="L60" s="109">
        <v>2000000</v>
      </c>
      <c r="M60" s="183">
        <f>SUM(M57:M59)</f>
        <v>23802366.780000001</v>
      </c>
    </row>
    <row r="61" spans="1:13">
      <c r="A61" s="46" t="s">
        <v>281</v>
      </c>
      <c r="B61" s="392">
        <v>1400000</v>
      </c>
      <c r="C61" s="392"/>
      <c r="I61" s="109"/>
      <c r="J61" s="109">
        <v>3500000</v>
      </c>
      <c r="L61" s="109">
        <v>150000</v>
      </c>
      <c r="M61" s="183">
        <v>24092226.780000001</v>
      </c>
    </row>
    <row r="62" spans="1:13">
      <c r="A62" s="46" t="s">
        <v>258</v>
      </c>
      <c r="B62" s="393">
        <v>1975000</v>
      </c>
      <c r="C62" s="393"/>
      <c r="I62" s="109">
        <v>100000</v>
      </c>
      <c r="J62" s="116">
        <f>SUM(J58:J61)</f>
        <v>13350000</v>
      </c>
      <c r="L62" s="109">
        <v>4590281.96</v>
      </c>
      <c r="M62" s="183">
        <f>M61-M60</f>
        <v>289860</v>
      </c>
    </row>
    <row r="63" spans="1:13">
      <c r="A63" s="46" t="s">
        <v>283</v>
      </c>
      <c r="B63" s="387">
        <v>1214184.3500000001</v>
      </c>
      <c r="C63" s="387"/>
      <c r="I63" s="109">
        <v>4589687.1100000003</v>
      </c>
      <c r="J63" s="109">
        <v>16829861.079999998</v>
      </c>
      <c r="L63" s="109">
        <f>SUM(L57:L62)</f>
        <v>9670281.9600000009</v>
      </c>
      <c r="M63" s="46"/>
    </row>
    <row r="64" spans="1:13">
      <c r="B64" s="388">
        <f>SUM(B60:C63)</f>
        <v>6182884.3499999996</v>
      </c>
      <c r="C64" s="388"/>
      <c r="I64" s="116">
        <f>SUM(I58:I63)</f>
        <v>4689687.1100000003</v>
      </c>
      <c r="J64" s="109">
        <f>J62-J63</f>
        <v>-3479861.0799999982</v>
      </c>
      <c r="M64" s="109">
        <v>24416573.030000001</v>
      </c>
    </row>
    <row r="65" spans="1:13">
      <c r="I65" s="109">
        <v>7212797.6100000003</v>
      </c>
      <c r="M65" s="109">
        <v>24708913.030000001</v>
      </c>
    </row>
    <row r="66" spans="1:13">
      <c r="I66" s="109">
        <f>I64-I65</f>
        <v>-2523110.5</v>
      </c>
      <c r="M66" s="109">
        <f>M64-M65</f>
        <v>-292340</v>
      </c>
    </row>
    <row r="67" spans="1:13">
      <c r="I67" s="109"/>
      <c r="M67" s="109">
        <v>289860</v>
      </c>
    </row>
    <row r="68" spans="1:13">
      <c r="I68" s="109"/>
      <c r="J68" s="109">
        <v>25346381.800000001</v>
      </c>
      <c r="M68" s="173">
        <f>SUM(M66:M67)</f>
        <v>-2480</v>
      </c>
    </row>
    <row r="69" spans="1:13">
      <c r="I69" s="109"/>
      <c r="J69" s="109">
        <v>24042658.690000001</v>
      </c>
      <c r="M69" s="46"/>
    </row>
    <row r="70" spans="1:13">
      <c r="I70" s="109"/>
      <c r="J70" s="109">
        <f>J68-J69</f>
        <v>1303723.1099999994</v>
      </c>
      <c r="L70" s="109">
        <v>400000</v>
      </c>
      <c r="M70" s="46"/>
    </row>
    <row r="71" spans="1:13">
      <c r="I71" s="109"/>
      <c r="L71" s="109">
        <v>1000000</v>
      </c>
      <c r="M71" s="109">
        <v>25279.7</v>
      </c>
    </row>
    <row r="72" spans="1:13">
      <c r="I72" s="109"/>
      <c r="M72" s="109">
        <v>27759.7</v>
      </c>
    </row>
    <row r="73" spans="1:13">
      <c r="H73" s="109"/>
      <c r="I73" s="109"/>
      <c r="M73" s="173">
        <f>M71-M72</f>
        <v>-2480</v>
      </c>
    </row>
    <row r="74" spans="1:13">
      <c r="H74" s="109">
        <v>4455551.57</v>
      </c>
      <c r="I74" s="109"/>
      <c r="J74" s="109">
        <v>17496381.800000001</v>
      </c>
      <c r="M74" s="46"/>
    </row>
    <row r="75" spans="1:13">
      <c r="H75" s="109">
        <v>5760963.6399999997</v>
      </c>
      <c r="I75" s="109"/>
      <c r="J75" s="109">
        <v>7850000</v>
      </c>
      <c r="M75" s="46"/>
    </row>
    <row r="76" spans="1:13">
      <c r="H76" s="109">
        <f>SUM(H74:H75)</f>
        <v>10216515.210000001</v>
      </c>
      <c r="I76" s="109"/>
      <c r="J76" s="109">
        <f>SUM(J74:J75)</f>
        <v>25346381.800000001</v>
      </c>
      <c r="M76" s="46"/>
    </row>
    <row r="77" spans="1:13" s="109" customFormat="1">
      <c r="A77" s="46"/>
      <c r="B77" s="46"/>
      <c r="C77" s="46"/>
      <c r="D77" s="46"/>
      <c r="E77" s="46"/>
      <c r="F77" s="46"/>
      <c r="G77" s="46"/>
    </row>
    <row r="78" spans="1:13" s="109" customFormat="1">
      <c r="A78" s="46"/>
      <c r="B78" s="46"/>
      <c r="C78" s="46"/>
      <c r="D78" s="46"/>
      <c r="E78" s="46"/>
      <c r="F78" s="46"/>
      <c r="G78" s="46"/>
    </row>
    <row r="79" spans="1:13" s="109" customFormat="1">
      <c r="A79" s="46"/>
      <c r="B79" s="46"/>
      <c r="C79" s="46"/>
      <c r="D79" s="46"/>
      <c r="E79" s="46"/>
      <c r="F79" s="46"/>
      <c r="G79" s="46"/>
    </row>
    <row r="80" spans="1:13" s="109" customFormat="1">
      <c r="A80" s="46"/>
      <c r="B80" s="46"/>
      <c r="C80" s="46"/>
      <c r="D80" s="46"/>
      <c r="E80" s="46"/>
      <c r="F80" s="46"/>
      <c r="G80" s="46"/>
    </row>
    <row r="81" spans="1:11" s="109" customFormat="1">
      <c r="A81" s="46"/>
      <c r="B81" s="46"/>
      <c r="C81" s="46"/>
      <c r="D81" s="46"/>
      <c r="E81" s="46"/>
      <c r="F81" s="46"/>
      <c r="G81" s="46"/>
    </row>
    <row r="82" spans="1:11" s="109" customFormat="1">
      <c r="A82" s="46"/>
      <c r="B82" s="46"/>
      <c r="C82" s="46"/>
      <c r="D82" s="46"/>
      <c r="E82" s="46"/>
      <c r="F82" s="46"/>
      <c r="G82" s="46"/>
    </row>
    <row r="83" spans="1:11" s="109" customFormat="1">
      <c r="A83" s="46"/>
      <c r="B83" s="46"/>
      <c r="C83" s="46"/>
      <c r="D83" s="46"/>
      <c r="E83" s="46"/>
      <c r="F83" s="46"/>
      <c r="G83" s="46"/>
      <c r="H83" s="46"/>
    </row>
    <row r="84" spans="1:11" s="109" customFormat="1">
      <c r="A84" s="46"/>
      <c r="B84" s="46"/>
      <c r="C84" s="46"/>
      <c r="D84" s="46"/>
      <c r="E84" s="46"/>
      <c r="F84" s="46"/>
      <c r="G84" s="46"/>
      <c r="H84" s="46"/>
    </row>
    <row r="85" spans="1:11" s="109" customFormat="1">
      <c r="A85" s="46"/>
      <c r="B85" s="46"/>
      <c r="C85" s="46"/>
      <c r="D85" s="46"/>
      <c r="E85" s="46"/>
      <c r="F85" s="46"/>
      <c r="G85" s="46"/>
      <c r="H85" s="46"/>
    </row>
    <row r="86" spans="1:11" s="109" customFormat="1">
      <c r="A86" s="46"/>
      <c r="B86" s="46"/>
      <c r="C86" s="46"/>
      <c r="D86" s="46"/>
      <c r="E86" s="46"/>
      <c r="F86" s="46"/>
      <c r="G86" s="46"/>
      <c r="H86" s="46"/>
    </row>
    <row r="87" spans="1:11" s="109" customFormat="1">
      <c r="A87" s="46"/>
      <c r="B87" s="46"/>
      <c r="C87" s="46"/>
      <c r="D87" s="46"/>
      <c r="E87" s="46"/>
      <c r="F87" s="46"/>
      <c r="G87" s="46"/>
      <c r="H87" s="46"/>
      <c r="K87" s="46"/>
    </row>
    <row r="88" spans="1:11" s="109" customFormat="1">
      <c r="A88" s="46"/>
      <c r="B88" s="46"/>
      <c r="C88" s="46"/>
      <c r="D88" s="46"/>
      <c r="E88" s="46"/>
      <c r="F88" s="46"/>
      <c r="G88" s="46"/>
      <c r="H88" s="46"/>
      <c r="K88" s="46"/>
    </row>
    <row r="89" spans="1:11" s="109" customFormat="1">
      <c r="A89" s="46"/>
      <c r="B89" s="46"/>
      <c r="C89" s="46"/>
      <c r="D89" s="46"/>
      <c r="E89" s="46"/>
      <c r="F89" s="46"/>
      <c r="G89" s="46"/>
      <c r="H89" s="46"/>
      <c r="K89" s="46"/>
    </row>
    <row r="90" spans="1:11" s="109" customFormat="1">
      <c r="A90" s="46"/>
      <c r="B90" s="46"/>
      <c r="C90" s="46"/>
      <c r="D90" s="46"/>
      <c r="E90" s="46"/>
      <c r="F90" s="46"/>
      <c r="G90" s="46"/>
      <c r="H90" s="46"/>
      <c r="K90" s="46"/>
    </row>
    <row r="91" spans="1:11" s="109" customFormat="1">
      <c r="A91" s="46"/>
      <c r="B91" s="46"/>
      <c r="C91" s="46"/>
      <c r="D91" s="46"/>
      <c r="E91" s="46"/>
      <c r="F91" s="46"/>
      <c r="G91" s="46"/>
      <c r="H91" s="46"/>
      <c r="K91" s="46"/>
    </row>
    <row r="92" spans="1:11" s="109" customFormat="1">
      <c r="A92" s="46"/>
      <c r="B92" s="46"/>
      <c r="C92" s="46"/>
      <c r="D92" s="46"/>
      <c r="E92" s="46"/>
      <c r="F92" s="46"/>
      <c r="G92" s="46"/>
      <c r="H92" s="46"/>
      <c r="K92" s="46"/>
    </row>
    <row r="93" spans="1:11" s="109" customFormat="1">
      <c r="A93" s="46"/>
      <c r="B93" s="46"/>
      <c r="C93" s="46"/>
      <c r="D93" s="46"/>
      <c r="E93" s="46"/>
      <c r="F93" s="46"/>
      <c r="G93" s="46"/>
      <c r="H93" s="46"/>
      <c r="K93" s="46"/>
    </row>
    <row r="94" spans="1:11" s="109" customFormat="1">
      <c r="A94" s="46"/>
      <c r="B94" s="46"/>
      <c r="C94" s="46"/>
      <c r="D94" s="46"/>
      <c r="E94" s="46"/>
      <c r="F94" s="46"/>
      <c r="G94" s="46"/>
      <c r="H94" s="46"/>
      <c r="K94" s="46"/>
    </row>
    <row r="95" spans="1:11" s="109" customFormat="1">
      <c r="A95" s="46"/>
      <c r="B95" s="46"/>
      <c r="C95" s="46"/>
      <c r="D95" s="46"/>
      <c r="E95" s="46"/>
      <c r="F95" s="46"/>
      <c r="G95" s="46"/>
      <c r="H95" s="46"/>
      <c r="K95" s="46"/>
    </row>
    <row r="96" spans="1:11" s="109" customFormat="1">
      <c r="A96" s="46"/>
      <c r="B96" s="46"/>
      <c r="C96" s="46"/>
      <c r="D96" s="46"/>
      <c r="E96" s="46"/>
      <c r="F96" s="46"/>
      <c r="G96" s="46"/>
      <c r="H96" s="46"/>
      <c r="K96" s="46"/>
    </row>
    <row r="97" spans="1:11" s="109" customFormat="1">
      <c r="A97" s="46"/>
      <c r="B97" s="46"/>
      <c r="C97" s="46"/>
      <c r="D97" s="46"/>
      <c r="E97" s="46"/>
      <c r="F97" s="46"/>
      <c r="G97" s="46"/>
      <c r="H97" s="46"/>
      <c r="K97" s="46"/>
    </row>
    <row r="98" spans="1:11" s="109" customFormat="1">
      <c r="A98" s="46"/>
      <c r="B98" s="46"/>
      <c r="C98" s="46"/>
      <c r="D98" s="46"/>
      <c r="E98" s="46"/>
      <c r="F98" s="46"/>
      <c r="G98" s="46"/>
      <c r="H98" s="46"/>
      <c r="K98" s="46"/>
    </row>
    <row r="99" spans="1:11" s="109" customFormat="1">
      <c r="A99" s="46"/>
      <c r="B99" s="46"/>
      <c r="C99" s="46"/>
      <c r="D99" s="46"/>
      <c r="E99" s="46"/>
      <c r="F99" s="46"/>
      <c r="G99" s="46"/>
      <c r="H99" s="46"/>
      <c r="K99" s="46"/>
    </row>
  </sheetData>
  <mergeCells count="8">
    <mergeCell ref="B63:C63"/>
    <mergeCell ref="B64:C64"/>
    <mergeCell ref="A2:J2"/>
    <mergeCell ref="A3:J3"/>
    <mergeCell ref="A4:J4"/>
    <mergeCell ref="B60:C60"/>
    <mergeCell ref="B61:C61"/>
    <mergeCell ref="B62:C62"/>
  </mergeCells>
  <printOptions horizontalCentered="1"/>
  <pageMargins left="0.02" right="0.15" top="0.39" bottom="0.1" header="0.21" footer="0.1"/>
  <pageSetup scale="84" orientation="portrait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6699"/>
  </sheetPr>
  <dimension ref="A1:N99"/>
  <sheetViews>
    <sheetView workbookViewId="0">
      <selection activeCell="L30" sqref="L30"/>
    </sheetView>
  </sheetViews>
  <sheetFormatPr defaultRowHeight="12.75"/>
  <cols>
    <col min="1" max="1" width="6" style="46" customWidth="1"/>
    <col min="2" max="3" width="9.140625" style="46"/>
    <col min="4" max="4" width="16.5703125" style="46" customWidth="1"/>
    <col min="5" max="6" width="13.85546875" style="46" customWidth="1"/>
    <col min="7" max="7" width="10" style="46" customWidth="1"/>
    <col min="8" max="8" width="11.5703125" style="46" customWidth="1"/>
    <col min="9" max="9" width="11.42578125" style="46" customWidth="1"/>
    <col min="10" max="10" width="13.28515625" style="109" customWidth="1"/>
    <col min="11" max="11" width="15.7109375" style="46" customWidth="1"/>
    <col min="12" max="12" width="16.85546875" style="109" customWidth="1"/>
    <col min="13" max="13" width="17" style="109" customWidth="1"/>
    <col min="14" max="14" width="17" style="46" customWidth="1"/>
    <col min="15" max="16384" width="9.140625" style="46"/>
  </cols>
  <sheetData>
    <row r="1" spans="1:13">
      <c r="A1" s="47"/>
      <c r="B1" s="48"/>
      <c r="C1" s="48"/>
      <c r="D1" s="48"/>
      <c r="E1" s="48"/>
      <c r="F1" s="48"/>
      <c r="G1" s="48"/>
      <c r="H1" s="48"/>
      <c r="I1" s="48"/>
      <c r="J1" s="169" t="s">
        <v>81</v>
      </c>
    </row>
    <row r="2" spans="1:13">
      <c r="A2" s="389" t="s">
        <v>80</v>
      </c>
      <c r="B2" s="390"/>
      <c r="C2" s="390"/>
      <c r="D2" s="390"/>
      <c r="E2" s="390"/>
      <c r="F2" s="390"/>
      <c r="G2" s="390"/>
      <c r="H2" s="390"/>
      <c r="I2" s="390"/>
      <c r="J2" s="391"/>
    </row>
    <row r="3" spans="1:13">
      <c r="A3" s="389" t="s">
        <v>290</v>
      </c>
      <c r="B3" s="390"/>
      <c r="C3" s="390"/>
      <c r="D3" s="390"/>
      <c r="E3" s="390"/>
      <c r="F3" s="390"/>
      <c r="G3" s="390"/>
      <c r="H3" s="390"/>
      <c r="I3" s="390"/>
      <c r="J3" s="391"/>
    </row>
    <row r="4" spans="1:13">
      <c r="A4" s="389"/>
      <c r="B4" s="390"/>
      <c r="C4" s="390"/>
      <c r="D4" s="390"/>
      <c r="E4" s="390"/>
      <c r="F4" s="390"/>
      <c r="G4" s="390"/>
      <c r="H4" s="390"/>
      <c r="I4" s="390"/>
      <c r="J4" s="391"/>
    </row>
    <row r="5" spans="1:13">
      <c r="A5" s="54" t="s">
        <v>77</v>
      </c>
      <c r="B5" s="286"/>
      <c r="C5" s="286"/>
      <c r="D5" s="286"/>
      <c r="E5" s="286"/>
      <c r="F5" s="286"/>
      <c r="G5" s="286"/>
      <c r="H5" s="286"/>
      <c r="I5" s="286"/>
      <c r="J5" s="170"/>
    </row>
    <row r="6" spans="1:13">
      <c r="A6" s="54" t="s">
        <v>76</v>
      </c>
      <c r="B6" s="55"/>
      <c r="C6" s="55"/>
      <c r="D6" s="55"/>
      <c r="E6" s="55"/>
      <c r="F6" s="55"/>
      <c r="G6" s="55"/>
      <c r="H6" s="55" t="s">
        <v>278</v>
      </c>
      <c r="I6" s="55"/>
      <c r="J6" s="171"/>
      <c r="K6" s="46" t="s">
        <v>210</v>
      </c>
    </row>
    <row r="7" spans="1:13">
      <c r="A7" s="47"/>
      <c r="B7" s="48"/>
      <c r="C7" s="48"/>
      <c r="D7" s="49"/>
      <c r="E7" s="88" t="s">
        <v>8</v>
      </c>
      <c r="F7" s="50"/>
      <c r="G7" s="52"/>
      <c r="H7" s="52"/>
      <c r="I7" s="53"/>
      <c r="J7" s="110"/>
    </row>
    <row r="8" spans="1:13">
      <c r="A8" s="54"/>
      <c r="B8" s="55"/>
      <c r="C8" s="55"/>
      <c r="D8" s="56"/>
      <c r="E8" s="285" t="s">
        <v>9</v>
      </c>
      <c r="F8" s="53"/>
      <c r="G8" s="59"/>
      <c r="H8" s="59"/>
      <c r="I8" s="58"/>
      <c r="J8" s="111"/>
    </row>
    <row r="9" spans="1:13">
      <c r="A9" s="61" t="s">
        <v>68</v>
      </c>
      <c r="B9" s="55"/>
      <c r="C9" s="55"/>
      <c r="D9" s="56"/>
      <c r="E9" s="285" t="s">
        <v>10</v>
      </c>
      <c r="F9" s="60" t="s">
        <v>12</v>
      </c>
      <c r="G9" s="60" t="s">
        <v>14</v>
      </c>
      <c r="H9" s="60" t="s">
        <v>20</v>
      </c>
      <c r="I9" s="60" t="s">
        <v>22</v>
      </c>
      <c r="J9" s="112" t="s">
        <v>24</v>
      </c>
    </row>
    <row r="10" spans="1:13">
      <c r="A10" s="54"/>
      <c r="B10" s="55"/>
      <c r="C10" s="55"/>
      <c r="D10" s="56"/>
      <c r="E10" s="285" t="s">
        <v>11</v>
      </c>
      <c r="F10" s="60" t="s">
        <v>13</v>
      </c>
      <c r="G10" s="59"/>
      <c r="H10" s="60" t="s">
        <v>21</v>
      </c>
      <c r="I10" s="60" t="s">
        <v>23</v>
      </c>
      <c r="J10" s="111"/>
    </row>
    <row r="11" spans="1:13">
      <c r="A11" s="62"/>
      <c r="B11" s="63"/>
      <c r="C11" s="63"/>
      <c r="D11" s="64"/>
      <c r="E11" s="65">
        <v>0.3</v>
      </c>
      <c r="F11" s="66">
        <v>0.7</v>
      </c>
      <c r="G11" s="59"/>
      <c r="H11" s="67"/>
      <c r="I11" s="68"/>
      <c r="J11" s="113"/>
    </row>
    <row r="12" spans="1:13" ht="18" customHeight="1">
      <c r="A12" s="70" t="s">
        <v>0</v>
      </c>
      <c r="B12" s="71"/>
      <c r="C12" s="71"/>
      <c r="D12" s="72"/>
      <c r="E12" s="51"/>
      <c r="F12" s="51"/>
      <c r="G12" s="51"/>
      <c r="H12" s="51"/>
      <c r="I12" s="51"/>
      <c r="J12" s="110"/>
      <c r="L12" s="287" t="s">
        <v>90</v>
      </c>
      <c r="M12" s="287" t="s">
        <v>89</v>
      </c>
    </row>
    <row r="13" spans="1:13" ht="18" customHeight="1">
      <c r="A13" s="73" t="s">
        <v>1</v>
      </c>
      <c r="B13" s="72"/>
      <c r="C13" s="72"/>
      <c r="D13" s="72"/>
      <c r="E13" s="94">
        <f>M19*0.3</f>
        <v>681270.03540000017</v>
      </c>
      <c r="F13" s="94">
        <f>M19*0.7</f>
        <v>1589630.0826000003</v>
      </c>
      <c r="G13" s="94"/>
      <c r="H13" s="94"/>
      <c r="I13" s="94"/>
      <c r="J13" s="114">
        <f>SUM(E13:I13)</f>
        <v>2270900.1180000007</v>
      </c>
      <c r="K13" s="175" t="e">
        <f>SUM(J13+#REF!+#REF!+#REF!+#REF!+#REF!+#REF!+#REF!+#REF!+#REF!+#REF!+#REF!)</f>
        <v>#REF!</v>
      </c>
      <c r="L13" s="109">
        <v>21367644.399999999</v>
      </c>
      <c r="M13" s="109">
        <v>4171566.4</v>
      </c>
    </row>
    <row r="14" spans="1:13" ht="18" customHeight="1">
      <c r="A14" s="73" t="s">
        <v>2</v>
      </c>
      <c r="B14" s="72"/>
      <c r="C14" s="72"/>
      <c r="D14" s="72"/>
      <c r="E14" s="102"/>
      <c r="F14" s="102"/>
      <c r="G14" s="102"/>
      <c r="H14" s="102"/>
      <c r="I14" s="102"/>
      <c r="J14" s="110"/>
      <c r="K14" s="117" t="s">
        <v>88</v>
      </c>
      <c r="L14" s="109">
        <v>9400000</v>
      </c>
      <c r="M14" s="109">
        <v>5637398.9699999997</v>
      </c>
    </row>
    <row r="15" spans="1:13" ht="18" customHeight="1">
      <c r="A15" s="75" t="s">
        <v>3</v>
      </c>
      <c r="B15" s="48"/>
      <c r="C15" s="48"/>
      <c r="D15" s="48"/>
      <c r="E15" s="102"/>
      <c r="F15" s="102"/>
      <c r="G15" s="102"/>
      <c r="H15" s="102"/>
      <c r="I15" s="102"/>
      <c r="J15" s="110"/>
      <c r="L15" s="116">
        <f>SUM(L13:L14)</f>
        <v>30767644.399999999</v>
      </c>
      <c r="M15" s="116">
        <f>SUM(M13:M14)</f>
        <v>9808965.3699999992</v>
      </c>
    </row>
    <row r="16" spans="1:13" ht="18" customHeight="1">
      <c r="A16" s="76" t="s">
        <v>78</v>
      </c>
      <c r="B16" s="55"/>
      <c r="C16" s="55"/>
      <c r="D16" s="55"/>
      <c r="E16" s="103"/>
      <c r="F16" s="103"/>
      <c r="G16" s="103"/>
      <c r="H16" s="103"/>
      <c r="I16" s="103"/>
      <c r="J16" s="113"/>
      <c r="K16" s="46">
        <v>11930281.960000001</v>
      </c>
    </row>
    <row r="17" spans="1:14" ht="18" customHeight="1">
      <c r="A17" s="77" t="s">
        <v>79</v>
      </c>
      <c r="B17" s="72"/>
      <c r="C17" s="72"/>
      <c r="D17" s="72"/>
      <c r="E17" s="94"/>
      <c r="F17" s="94"/>
      <c r="G17" s="94"/>
      <c r="H17" s="94"/>
      <c r="I17" s="94"/>
      <c r="J17" s="113">
        <f>SUM(E17:I17)</f>
        <v>0</v>
      </c>
      <c r="K17" s="173">
        <f>K16-J16</f>
        <v>11930281.960000001</v>
      </c>
      <c r="M17" s="109">
        <v>25936573.030000001</v>
      </c>
    </row>
    <row r="18" spans="1:14" ht="18" customHeight="1">
      <c r="A18" s="70" t="s">
        <v>7</v>
      </c>
      <c r="B18" s="72"/>
      <c r="C18" s="72"/>
      <c r="D18" s="72"/>
      <c r="E18" s="119">
        <f>SUM(E13:E17)</f>
        <v>681270.03540000017</v>
      </c>
      <c r="F18" s="119">
        <f t="shared" ref="F18:J18" si="0">SUM(F13:F17)</f>
        <v>1589630.0826000003</v>
      </c>
      <c r="G18" s="119">
        <f t="shared" si="0"/>
        <v>0</v>
      </c>
      <c r="H18" s="119">
        <f t="shared" si="0"/>
        <v>0</v>
      </c>
      <c r="I18" s="119">
        <f t="shared" si="0"/>
        <v>0</v>
      </c>
      <c r="J18" s="119">
        <f t="shared" si="0"/>
        <v>2270900.1180000007</v>
      </c>
      <c r="K18" s="166">
        <f t="shared" ref="K18:K45" si="1">SUM(E18:I18)</f>
        <v>2270900.1180000007</v>
      </c>
      <c r="L18" s="193" t="s">
        <v>171</v>
      </c>
      <c r="M18" s="192">
        <f>259729487.87-214311485.51</f>
        <v>45418002.360000014</v>
      </c>
    </row>
    <row r="19" spans="1:14" s="109" customFormat="1" ht="18" customHeight="1">
      <c r="A19" s="74" t="s">
        <v>99</v>
      </c>
      <c r="B19" s="72" t="s">
        <v>100</v>
      </c>
      <c r="C19" s="72"/>
      <c r="D19" s="72"/>
      <c r="E19" s="94">
        <f>SUM('DRRM Funds FEB''2016 '!E46)</f>
        <v>24908770.422650002</v>
      </c>
      <c r="F19" s="94">
        <f>SUM('DRRM Funds FEB''2016 '!F46)</f>
        <v>24783012.472850002</v>
      </c>
      <c r="G19" s="94">
        <f>SUM('DRRM Funds FEB''2016 '!G46)</f>
        <v>0</v>
      </c>
      <c r="H19" s="94">
        <f>SUM('DRRM Funds FEB''2016 '!H46)</f>
        <v>0</v>
      </c>
      <c r="I19" s="94">
        <f>SUM('DRRM Funds FEB''2016 '!I46)</f>
        <v>0</v>
      </c>
      <c r="J19" s="94">
        <f>SUM('DRRM Funds FEB''2016 '!J46)</f>
        <v>49691782.895499997</v>
      </c>
      <c r="K19" s="166">
        <f t="shared" si="1"/>
        <v>49691782.895500004</v>
      </c>
      <c r="L19" s="194">
        <v>0.05</v>
      </c>
      <c r="M19" s="269">
        <f>M18*0.05</f>
        <v>2270900.1180000007</v>
      </c>
    </row>
    <row r="20" spans="1:14" s="109" customFormat="1" ht="18" customHeight="1">
      <c r="A20" s="70" t="s">
        <v>101</v>
      </c>
      <c r="B20" s="122"/>
      <c r="C20" s="72"/>
      <c r="D20" s="72"/>
      <c r="E20" s="119">
        <f>SUM(E18:E19)</f>
        <v>25590040.458050001</v>
      </c>
      <c r="F20" s="119">
        <f t="shared" ref="F20:J20" si="2">SUM(F18:F19)</f>
        <v>26372642.555450004</v>
      </c>
      <c r="G20" s="119">
        <f>SUM(G18:G19)</f>
        <v>0</v>
      </c>
      <c r="H20" s="119">
        <f t="shared" si="2"/>
        <v>0</v>
      </c>
      <c r="I20" s="119">
        <f t="shared" si="2"/>
        <v>0</v>
      </c>
      <c r="J20" s="119">
        <f t="shared" si="2"/>
        <v>51962683.013499998</v>
      </c>
      <c r="K20" s="166">
        <f t="shared" si="1"/>
        <v>51962683.013500005</v>
      </c>
    </row>
    <row r="21" spans="1:14" ht="18" customHeight="1">
      <c r="A21" s="70" t="s">
        <v>15</v>
      </c>
      <c r="B21" s="72"/>
      <c r="C21" s="72"/>
      <c r="D21" s="72"/>
      <c r="E21" s="94"/>
      <c r="F21" s="94"/>
      <c r="G21" s="94"/>
      <c r="H21" s="94"/>
      <c r="I21" s="94"/>
      <c r="J21" s="114"/>
      <c r="K21" s="166">
        <f t="shared" si="1"/>
        <v>0</v>
      </c>
      <c r="M21" s="109">
        <v>26972032.48</v>
      </c>
    </row>
    <row r="22" spans="1:14" ht="18" customHeight="1">
      <c r="A22" s="77" t="s">
        <v>206</v>
      </c>
      <c r="B22" s="263"/>
      <c r="C22" s="263"/>
      <c r="D22" s="263"/>
      <c r="E22" s="94"/>
      <c r="F22" s="94"/>
      <c r="G22" s="94"/>
      <c r="H22" s="94"/>
      <c r="I22" s="94"/>
      <c r="J22" s="114">
        <f>SUM(E22:I22)</f>
        <v>0</v>
      </c>
      <c r="K22" s="166"/>
    </row>
    <row r="23" spans="1:14" ht="18" customHeight="1">
      <c r="A23" s="77" t="s">
        <v>251</v>
      </c>
      <c r="B23" s="263"/>
      <c r="C23" s="263"/>
      <c r="D23" s="263"/>
      <c r="E23" s="94"/>
      <c r="F23" s="94"/>
      <c r="G23" s="94"/>
      <c r="H23" s="94"/>
      <c r="I23" s="94"/>
      <c r="J23" s="114">
        <f t="shared" ref="J23:J42" si="3">SUM(E23:I23)</f>
        <v>0</v>
      </c>
      <c r="K23" s="166">
        <f t="shared" si="1"/>
        <v>0</v>
      </c>
      <c r="L23" s="176">
        <f>518731460.56*0.05</f>
        <v>25936573.028000001</v>
      </c>
      <c r="M23" s="109">
        <v>125607.13</v>
      </c>
    </row>
    <row r="24" spans="1:14" ht="18" customHeight="1">
      <c r="A24" s="290" t="s">
        <v>229</v>
      </c>
      <c r="B24" s="291"/>
      <c r="C24" s="291"/>
      <c r="D24" s="291"/>
      <c r="E24" s="292"/>
      <c r="F24" s="292"/>
      <c r="G24" s="292"/>
      <c r="H24" s="292"/>
      <c r="I24" s="292"/>
      <c r="J24" s="114">
        <f t="shared" si="3"/>
        <v>0</v>
      </c>
      <c r="K24" s="166"/>
      <c r="L24" s="228"/>
    </row>
    <row r="25" spans="1:14" ht="18" customHeight="1">
      <c r="A25" s="290" t="s">
        <v>252</v>
      </c>
      <c r="B25" s="291"/>
      <c r="C25" s="291"/>
      <c r="D25" s="291"/>
      <c r="E25" s="292"/>
      <c r="F25" s="292">
        <v>317200</v>
      </c>
      <c r="G25" s="292"/>
      <c r="H25" s="292"/>
      <c r="I25" s="292"/>
      <c r="J25" s="114">
        <f t="shared" si="3"/>
        <v>317200</v>
      </c>
      <c r="K25" s="166">
        <f t="shared" si="1"/>
        <v>317200</v>
      </c>
      <c r="M25" s="232" t="s">
        <v>236</v>
      </c>
    </row>
    <row r="26" spans="1:14" ht="18" customHeight="1">
      <c r="A26" s="290" t="s">
        <v>276</v>
      </c>
      <c r="B26" s="291"/>
      <c r="C26" s="291"/>
      <c r="D26" s="291"/>
      <c r="E26" s="292"/>
      <c r="F26" s="292">
        <v>813605.76</v>
      </c>
      <c r="G26" s="292"/>
      <c r="H26" s="292"/>
      <c r="I26" s="292"/>
      <c r="J26" s="114">
        <f t="shared" si="3"/>
        <v>813605.76</v>
      </c>
      <c r="K26" s="166">
        <f t="shared" si="1"/>
        <v>813605.76</v>
      </c>
      <c r="M26" s="229">
        <v>275607.13</v>
      </c>
      <c r="N26" s="46" t="s">
        <v>230</v>
      </c>
    </row>
    <row r="27" spans="1:14" ht="18" customHeight="1">
      <c r="A27" s="293" t="s">
        <v>275</v>
      </c>
      <c r="B27" s="291"/>
      <c r="C27" s="291"/>
      <c r="D27" s="291"/>
      <c r="E27" s="292"/>
      <c r="F27" s="292">
        <v>199200</v>
      </c>
      <c r="G27" s="292"/>
      <c r="H27" s="292"/>
      <c r="I27" s="292"/>
      <c r="J27" s="114">
        <f t="shared" si="3"/>
        <v>199200</v>
      </c>
      <c r="K27" s="166">
        <f t="shared" si="1"/>
        <v>199200</v>
      </c>
      <c r="M27" s="229">
        <v>695000</v>
      </c>
      <c r="N27" s="46" t="s">
        <v>232</v>
      </c>
    </row>
    <row r="28" spans="1:14" ht="18" customHeight="1">
      <c r="A28" s="290" t="s">
        <v>274</v>
      </c>
      <c r="B28" s="291"/>
      <c r="C28" s="291"/>
      <c r="D28" s="291"/>
      <c r="E28" s="292"/>
      <c r="F28" s="292"/>
      <c r="G28" s="292"/>
      <c r="H28" s="292"/>
      <c r="I28" s="292"/>
      <c r="J28" s="114">
        <f t="shared" si="3"/>
        <v>0</v>
      </c>
      <c r="K28" s="166">
        <f t="shared" si="1"/>
        <v>0</v>
      </c>
      <c r="M28" s="229">
        <v>1470000</v>
      </c>
      <c r="N28" s="46" t="s">
        <v>233</v>
      </c>
    </row>
    <row r="29" spans="1:14" ht="18" customHeight="1">
      <c r="A29" s="290" t="s">
        <v>227</v>
      </c>
      <c r="B29" s="291"/>
      <c r="C29" s="291"/>
      <c r="D29" s="291"/>
      <c r="E29" s="292"/>
      <c r="F29" s="292"/>
      <c r="G29" s="292"/>
      <c r="H29" s="292"/>
      <c r="I29" s="292"/>
      <c r="J29" s="114">
        <f t="shared" si="3"/>
        <v>0</v>
      </c>
      <c r="K29" s="166">
        <f t="shared" si="1"/>
        <v>0</v>
      </c>
      <c r="L29" s="287"/>
      <c r="M29" s="229">
        <v>3071228.76</v>
      </c>
      <c r="N29" s="46" t="s">
        <v>231</v>
      </c>
    </row>
    <row r="30" spans="1:14" ht="18" customHeight="1">
      <c r="A30" s="290" t="s">
        <v>273</v>
      </c>
      <c r="B30" s="291"/>
      <c r="C30" s="291"/>
      <c r="D30" s="291"/>
      <c r="E30" s="292"/>
      <c r="F30" s="292"/>
      <c r="G30" s="292"/>
      <c r="H30" s="292"/>
      <c r="I30" s="292"/>
      <c r="J30" s="114">
        <f t="shared" si="3"/>
        <v>0</v>
      </c>
      <c r="K30" s="166"/>
      <c r="L30" s="287"/>
      <c r="M30" s="229">
        <v>5009130</v>
      </c>
      <c r="N30" s="46" t="s">
        <v>234</v>
      </c>
    </row>
    <row r="31" spans="1:14" ht="18" customHeight="1">
      <c r="A31" s="290" t="s">
        <v>213</v>
      </c>
      <c r="B31" s="291"/>
      <c r="C31" s="291"/>
      <c r="D31" s="291"/>
      <c r="E31" s="292"/>
      <c r="F31" s="292"/>
      <c r="G31" s="292"/>
      <c r="H31" s="292"/>
      <c r="I31" s="292"/>
      <c r="J31" s="114">
        <f t="shared" si="3"/>
        <v>0</v>
      </c>
      <c r="K31" s="166"/>
      <c r="L31" s="287"/>
      <c r="M31" s="230">
        <v>1900100</v>
      </c>
      <c r="N31" s="46" t="s">
        <v>235</v>
      </c>
    </row>
    <row r="32" spans="1:14" ht="18" customHeight="1">
      <c r="A32" s="290" t="s">
        <v>250</v>
      </c>
      <c r="B32" s="291"/>
      <c r="C32" s="291"/>
      <c r="D32" s="291"/>
      <c r="E32" s="292"/>
      <c r="F32" s="292"/>
      <c r="G32" s="292"/>
      <c r="H32" s="292"/>
      <c r="I32" s="292"/>
      <c r="J32" s="114">
        <f t="shared" si="3"/>
        <v>0</v>
      </c>
      <c r="K32" s="166"/>
      <c r="L32" s="287"/>
      <c r="M32" s="289">
        <f>SUM(M26:M31)</f>
        <v>12421065.890000001</v>
      </c>
    </row>
    <row r="33" spans="1:13" ht="18" customHeight="1">
      <c r="A33" s="290" t="s">
        <v>214</v>
      </c>
      <c r="B33" s="291"/>
      <c r="C33" s="291"/>
      <c r="D33" s="291"/>
      <c r="E33" s="292"/>
      <c r="F33" s="292"/>
      <c r="G33" s="292"/>
      <c r="H33" s="292"/>
      <c r="I33" s="292"/>
      <c r="J33" s="114">
        <f t="shared" si="3"/>
        <v>0</v>
      </c>
      <c r="K33" s="227"/>
      <c r="L33" s="287"/>
    </row>
    <row r="34" spans="1:13" ht="18" customHeight="1">
      <c r="A34" s="290" t="s">
        <v>249</v>
      </c>
      <c r="B34" s="291"/>
      <c r="C34" s="291"/>
      <c r="D34" s="291"/>
      <c r="E34" s="292"/>
      <c r="F34" s="292"/>
      <c r="G34" s="292"/>
      <c r="H34" s="292"/>
      <c r="I34" s="292"/>
      <c r="J34" s="114">
        <f t="shared" si="3"/>
        <v>0</v>
      </c>
      <c r="K34" s="265"/>
      <c r="L34" s="287"/>
    </row>
    <row r="35" spans="1:13" ht="18" customHeight="1">
      <c r="A35" s="290" t="s">
        <v>222</v>
      </c>
      <c r="B35" s="291"/>
      <c r="C35" s="291"/>
      <c r="D35" s="291"/>
      <c r="E35" s="292"/>
      <c r="F35" s="292"/>
      <c r="G35" s="292"/>
      <c r="H35" s="292"/>
      <c r="I35" s="292"/>
      <c r="J35" s="114">
        <f t="shared" si="3"/>
        <v>0</v>
      </c>
      <c r="K35" s="266">
        <f t="shared" si="1"/>
        <v>0</v>
      </c>
      <c r="L35" s="109">
        <f>SUM(F29:F35)</f>
        <v>0</v>
      </c>
    </row>
    <row r="36" spans="1:13" ht="18" customHeight="1">
      <c r="A36" s="290" t="s">
        <v>223</v>
      </c>
      <c r="B36" s="291"/>
      <c r="C36" s="291"/>
      <c r="D36" s="291"/>
      <c r="E36" s="292"/>
      <c r="F36" s="292"/>
      <c r="G36" s="292"/>
      <c r="H36" s="292"/>
      <c r="I36" s="292"/>
      <c r="J36" s="114">
        <f t="shared" si="3"/>
        <v>0</v>
      </c>
      <c r="K36" s="166">
        <f t="shared" si="1"/>
        <v>0</v>
      </c>
      <c r="L36" s="109">
        <v>147060</v>
      </c>
    </row>
    <row r="37" spans="1:13" ht="18" customHeight="1">
      <c r="A37" s="290" t="s">
        <v>168</v>
      </c>
      <c r="B37" s="291"/>
      <c r="C37" s="291"/>
      <c r="D37" s="291"/>
      <c r="E37" s="292"/>
      <c r="F37" s="292"/>
      <c r="G37" s="292"/>
      <c r="H37" s="292"/>
      <c r="I37" s="292"/>
      <c r="J37" s="114">
        <f t="shared" si="3"/>
        <v>0</v>
      </c>
      <c r="K37" s="166">
        <f t="shared" si="1"/>
        <v>0</v>
      </c>
    </row>
    <row r="38" spans="1:13" ht="18" customHeight="1">
      <c r="A38" s="290" t="s">
        <v>225</v>
      </c>
      <c r="B38" s="291"/>
      <c r="C38" s="291"/>
      <c r="D38" s="291"/>
      <c r="E38" s="292"/>
      <c r="F38" s="292"/>
      <c r="G38" s="292"/>
      <c r="H38" s="292"/>
      <c r="I38" s="292"/>
      <c r="J38" s="114">
        <f t="shared" si="3"/>
        <v>0</v>
      </c>
      <c r="K38" s="166">
        <f t="shared" si="1"/>
        <v>0</v>
      </c>
      <c r="L38" s="109">
        <v>1555500</v>
      </c>
    </row>
    <row r="39" spans="1:13" ht="18" customHeight="1">
      <c r="A39" s="290" t="s">
        <v>207</v>
      </c>
      <c r="B39" s="291"/>
      <c r="C39" s="291"/>
      <c r="D39" s="291"/>
      <c r="E39" s="292"/>
      <c r="F39" s="292">
        <v>44682</v>
      </c>
      <c r="G39" s="292"/>
      <c r="H39" s="292"/>
      <c r="I39" s="292"/>
      <c r="J39" s="114">
        <f t="shared" si="3"/>
        <v>44682</v>
      </c>
      <c r="K39" s="166"/>
    </row>
    <row r="40" spans="1:13" ht="18" customHeight="1">
      <c r="A40" s="83" t="s">
        <v>94</v>
      </c>
      <c r="B40" s="263"/>
      <c r="C40" s="263"/>
      <c r="D40" s="263"/>
      <c r="E40" s="94"/>
      <c r="F40" s="94"/>
      <c r="G40" s="94"/>
      <c r="H40" s="94"/>
      <c r="I40" s="94"/>
      <c r="J40" s="114">
        <f t="shared" si="3"/>
        <v>0</v>
      </c>
      <c r="K40" s="166">
        <f t="shared" si="1"/>
        <v>0</v>
      </c>
      <c r="L40" s="109">
        <v>177000</v>
      </c>
    </row>
    <row r="41" spans="1:13" ht="18" customHeight="1">
      <c r="A41" s="83" t="s">
        <v>95</v>
      </c>
      <c r="B41" s="263"/>
      <c r="C41" s="263"/>
      <c r="D41" s="263"/>
      <c r="E41" s="94"/>
      <c r="F41" s="94"/>
      <c r="G41" s="94"/>
      <c r="H41" s="94"/>
      <c r="I41" s="94"/>
      <c r="J41" s="114">
        <f t="shared" si="3"/>
        <v>0</v>
      </c>
      <c r="K41" s="166">
        <f t="shared" si="1"/>
        <v>0</v>
      </c>
      <c r="L41" s="109">
        <v>204055</v>
      </c>
    </row>
    <row r="42" spans="1:13" ht="18" customHeight="1">
      <c r="A42" s="77" t="s">
        <v>96</v>
      </c>
      <c r="B42" s="263"/>
      <c r="C42" s="263"/>
      <c r="D42" s="263"/>
      <c r="E42" s="94"/>
      <c r="F42" s="94"/>
      <c r="G42" s="94"/>
      <c r="H42" s="94"/>
      <c r="I42" s="94"/>
      <c r="J42" s="114">
        <f t="shared" si="3"/>
        <v>0</v>
      </c>
      <c r="K42" s="166">
        <f t="shared" si="1"/>
        <v>0</v>
      </c>
      <c r="L42" s="109">
        <v>71070</v>
      </c>
    </row>
    <row r="43" spans="1:13" ht="18" customHeight="1">
      <c r="A43" s="84" t="s">
        <v>92</v>
      </c>
      <c r="B43" s="63"/>
      <c r="C43" s="63"/>
      <c r="D43" s="63"/>
      <c r="E43" s="94">
        <f>SUM(E22:E42)</f>
        <v>0</v>
      </c>
      <c r="F43" s="94">
        <f t="shared" ref="F43:J43" si="4">SUM(F22:F42)</f>
        <v>1374687.76</v>
      </c>
      <c r="G43" s="94">
        <f>SUM(G22:G42)</f>
        <v>0</v>
      </c>
      <c r="H43" s="94">
        <f t="shared" si="4"/>
        <v>0</v>
      </c>
      <c r="I43" s="94">
        <f t="shared" si="4"/>
        <v>0</v>
      </c>
      <c r="J43" s="94">
        <f t="shared" si="4"/>
        <v>1374687.76</v>
      </c>
      <c r="K43" s="166">
        <f t="shared" si="1"/>
        <v>1374687.76</v>
      </c>
      <c r="L43" s="109">
        <v>27800</v>
      </c>
      <c r="M43" s="46"/>
    </row>
    <row r="44" spans="1:13" ht="18" customHeight="1">
      <c r="A44" s="84" t="s">
        <v>103</v>
      </c>
      <c r="B44" s="63"/>
      <c r="C44" s="63"/>
      <c r="D44" s="63"/>
      <c r="E44" s="103">
        <f>SUM('DRRM Funds FEB''2016 '!E45)</f>
        <v>0</v>
      </c>
      <c r="F44" s="103">
        <f>SUM('DRRM Funds FEB''2016 '!F45)</f>
        <v>2809831.5</v>
      </c>
      <c r="G44" s="103">
        <f>SUM('DRRM Funds FEB''2016 '!G45)</f>
        <v>0</v>
      </c>
      <c r="H44" s="103">
        <f>SUM('DRRM Funds FEB''2016 '!H45)</f>
        <v>0</v>
      </c>
      <c r="I44" s="103">
        <f>SUM('DRRM Funds FEB''2016 '!I45)</f>
        <v>0</v>
      </c>
      <c r="J44" s="103">
        <f>SUM('DRRM Funds FEB''2016 '!J45)</f>
        <v>2809831.5</v>
      </c>
      <c r="K44" s="166">
        <f t="shared" si="1"/>
        <v>2809831.5</v>
      </c>
      <c r="L44" s="109">
        <v>126865</v>
      </c>
      <c r="M44" s="109">
        <f>SUM(E44:H44)</f>
        <v>2809831.5</v>
      </c>
    </row>
    <row r="45" spans="1:13" ht="18" customHeight="1">
      <c r="A45" s="84" t="s">
        <v>104</v>
      </c>
      <c r="B45" s="63"/>
      <c r="C45" s="63"/>
      <c r="D45" s="63"/>
      <c r="E45" s="103">
        <f>SUM(E43:E44)</f>
        <v>0</v>
      </c>
      <c r="F45" s="103">
        <f t="shared" ref="F45:J45" si="5">SUM(F43:F44)</f>
        <v>4184519.26</v>
      </c>
      <c r="G45" s="103">
        <f t="shared" si="5"/>
        <v>0</v>
      </c>
      <c r="H45" s="103">
        <f t="shared" si="5"/>
        <v>0</v>
      </c>
      <c r="I45" s="103">
        <f t="shared" si="5"/>
        <v>0</v>
      </c>
      <c r="J45" s="103">
        <f t="shared" si="5"/>
        <v>4184519.26</v>
      </c>
      <c r="K45" s="166">
        <f t="shared" si="1"/>
        <v>4184519.26</v>
      </c>
      <c r="L45" s="174">
        <f>SUM(L35:L44)</f>
        <v>2309350</v>
      </c>
      <c r="M45" s="109">
        <v>10492358.970000001</v>
      </c>
    </row>
    <row r="46" spans="1:13" ht="18" customHeight="1">
      <c r="A46" s="70" t="s">
        <v>93</v>
      </c>
      <c r="B46" s="72"/>
      <c r="C46" s="72"/>
      <c r="D46" s="80"/>
      <c r="E46" s="231">
        <f t="shared" ref="E46:J46" si="6">E20-E43</f>
        <v>25590040.458050001</v>
      </c>
      <c r="F46" s="231">
        <f t="shared" si="6"/>
        <v>24997954.795450002</v>
      </c>
      <c r="G46" s="231">
        <f>G20-G43</f>
        <v>0</v>
      </c>
      <c r="H46" s="231">
        <f t="shared" si="6"/>
        <v>0</v>
      </c>
      <c r="I46" s="231">
        <f t="shared" si="6"/>
        <v>0</v>
      </c>
      <c r="J46" s="231">
        <f t="shared" si="6"/>
        <v>50587995.2535</v>
      </c>
      <c r="K46" s="166">
        <f>SUM(E46:I46)</f>
        <v>50587995.2535</v>
      </c>
      <c r="L46" s="46"/>
      <c r="M46" s="109">
        <f>M45-L45</f>
        <v>8183008.9700000007</v>
      </c>
    </row>
    <row r="47" spans="1:13" ht="18" customHeight="1">
      <c r="A47" s="55"/>
      <c r="B47" s="55"/>
      <c r="C47" s="55"/>
      <c r="D47" s="55"/>
      <c r="E47" s="55"/>
      <c r="F47" s="55"/>
      <c r="G47" s="55"/>
      <c r="H47" s="55"/>
      <c r="I47" s="55"/>
      <c r="J47" s="115" t="s">
        <v>74</v>
      </c>
      <c r="K47" s="92">
        <f>SUM(E46:F46)</f>
        <v>50587995.2535</v>
      </c>
      <c r="M47" s="109">
        <v>0</v>
      </c>
    </row>
    <row r="48" spans="1:13">
      <c r="A48" s="55" t="s">
        <v>83</v>
      </c>
      <c r="B48" s="55"/>
      <c r="C48" s="55"/>
      <c r="D48" s="55"/>
      <c r="E48" s="55"/>
      <c r="F48" s="55"/>
      <c r="G48" s="55"/>
      <c r="H48" s="55" t="s">
        <v>29</v>
      </c>
      <c r="I48" s="55"/>
      <c r="J48" s="115"/>
      <c r="K48" s="55"/>
      <c r="L48" s="109">
        <v>752760</v>
      </c>
    </row>
    <row r="49" spans="1:13">
      <c r="A49" s="55"/>
      <c r="B49" s="55"/>
      <c r="C49" s="55"/>
      <c r="D49" s="55"/>
      <c r="E49" s="55"/>
      <c r="F49" s="55"/>
      <c r="G49" s="55"/>
      <c r="H49" s="55"/>
      <c r="I49" s="55"/>
      <c r="J49" s="115"/>
      <c r="K49" s="55"/>
      <c r="L49" s="109">
        <v>902075</v>
      </c>
    </row>
    <row r="50" spans="1:13">
      <c r="A50" s="82" t="s">
        <v>202</v>
      </c>
      <c r="B50" s="55"/>
      <c r="C50" s="55"/>
      <c r="D50" s="55"/>
      <c r="E50" s="55"/>
      <c r="F50" s="55"/>
      <c r="G50" s="55"/>
      <c r="H50" s="241" t="s">
        <v>194</v>
      </c>
      <c r="I50" s="55"/>
      <c r="J50" s="115"/>
      <c r="K50" s="55"/>
      <c r="L50" s="109">
        <v>504234.65</v>
      </c>
      <c r="M50" s="109">
        <v>8736531.7100000009</v>
      </c>
    </row>
    <row r="51" spans="1:13">
      <c r="A51" s="140" t="s">
        <v>287</v>
      </c>
      <c r="B51" s="55"/>
      <c r="C51" s="55"/>
      <c r="D51" s="55"/>
      <c r="E51" s="55"/>
      <c r="F51" s="55"/>
      <c r="G51" s="55"/>
      <c r="H51" s="140" t="s">
        <v>195</v>
      </c>
      <c r="I51" s="55"/>
      <c r="J51" s="115"/>
      <c r="K51" s="55"/>
      <c r="L51" s="109">
        <v>899145</v>
      </c>
      <c r="M51" s="109">
        <v>10140</v>
      </c>
    </row>
    <row r="52" spans="1:13">
      <c r="A52" s="55"/>
      <c r="B52" s="55"/>
      <c r="C52" s="55"/>
      <c r="D52" s="55"/>
      <c r="E52" s="121" t="s">
        <v>237</v>
      </c>
      <c r="F52" s="55"/>
      <c r="G52" s="55"/>
      <c r="H52" s="55"/>
      <c r="I52" s="55"/>
      <c r="J52" s="115"/>
      <c r="K52" s="55"/>
      <c r="L52" s="109">
        <v>1087927.3999999999</v>
      </c>
      <c r="M52" s="109">
        <f>SUM(M50:M51)</f>
        <v>8746671.7100000009</v>
      </c>
    </row>
    <row r="53" spans="1:13">
      <c r="A53" s="55"/>
      <c r="B53" s="55"/>
      <c r="C53" s="55"/>
      <c r="D53" s="55"/>
      <c r="E53" s="115"/>
      <c r="F53" s="55"/>
      <c r="G53" s="55"/>
      <c r="H53" s="55"/>
      <c r="I53" s="115"/>
      <c r="J53" s="115"/>
      <c r="K53" s="55"/>
      <c r="L53" s="109">
        <v>2896515.5</v>
      </c>
    </row>
    <row r="54" spans="1:13">
      <c r="A54" s="55"/>
      <c r="B54" s="55"/>
      <c r="C54" s="55"/>
      <c r="D54" s="55"/>
      <c r="E54" s="82" t="s">
        <v>149</v>
      </c>
      <c r="F54" s="55"/>
      <c r="G54" s="55"/>
      <c r="H54" s="55"/>
      <c r="I54" s="115"/>
      <c r="J54" s="115"/>
      <c r="K54" s="55"/>
    </row>
    <row r="55" spans="1:13">
      <c r="A55" s="55"/>
      <c r="B55" s="55"/>
      <c r="C55" s="55"/>
      <c r="D55" s="55"/>
      <c r="E55" s="55" t="s">
        <v>238</v>
      </c>
      <c r="F55" s="55"/>
      <c r="G55" s="55"/>
      <c r="H55" s="55"/>
      <c r="I55" s="115"/>
      <c r="J55" s="115"/>
      <c r="K55" s="55"/>
      <c r="L55" s="109">
        <v>120000</v>
      </c>
    </row>
    <row r="56" spans="1:13">
      <c r="I56" s="109"/>
      <c r="M56" s="46"/>
    </row>
    <row r="57" spans="1:13">
      <c r="F57" s="121"/>
      <c r="I57" s="109"/>
      <c r="K57" s="55"/>
      <c r="L57" s="115">
        <v>630000</v>
      </c>
      <c r="M57" s="183">
        <v>10644424.82</v>
      </c>
    </row>
    <row r="58" spans="1:13">
      <c r="B58" s="276" t="s">
        <v>236</v>
      </c>
      <c r="F58" s="115"/>
      <c r="I58" s="109"/>
      <c r="J58" s="109">
        <v>7850000</v>
      </c>
      <c r="L58" s="109">
        <v>1000000</v>
      </c>
      <c r="M58" s="183">
        <v>13157941.960000001</v>
      </c>
    </row>
    <row r="59" spans="1:13">
      <c r="I59" s="109"/>
      <c r="J59" s="109">
        <v>800000</v>
      </c>
      <c r="L59" s="109">
        <v>1300000</v>
      </c>
      <c r="M59" s="184">
        <v>0</v>
      </c>
    </row>
    <row r="60" spans="1:13">
      <c r="A60" s="46" t="s">
        <v>282</v>
      </c>
      <c r="B60" s="392">
        <f>1493800+99900</f>
        <v>1593700</v>
      </c>
      <c r="C60" s="392"/>
      <c r="I60" s="109"/>
      <c r="J60" s="109">
        <v>1200000</v>
      </c>
      <c r="L60" s="109">
        <v>2000000</v>
      </c>
      <c r="M60" s="183">
        <f>SUM(M57:M59)</f>
        <v>23802366.780000001</v>
      </c>
    </row>
    <row r="61" spans="1:13">
      <c r="A61" s="46" t="s">
        <v>281</v>
      </c>
      <c r="B61" s="392">
        <v>1400000</v>
      </c>
      <c r="C61" s="392"/>
      <c r="I61" s="109"/>
      <c r="J61" s="109">
        <v>3500000</v>
      </c>
      <c r="L61" s="109">
        <v>150000</v>
      </c>
      <c r="M61" s="183">
        <v>24092226.780000001</v>
      </c>
    </row>
    <row r="62" spans="1:13">
      <c r="A62" s="46" t="s">
        <v>258</v>
      </c>
      <c r="B62" s="393">
        <v>1975000</v>
      </c>
      <c r="C62" s="393"/>
      <c r="I62" s="109">
        <v>100000</v>
      </c>
      <c r="J62" s="116">
        <f>SUM(J58:J61)</f>
        <v>13350000</v>
      </c>
      <c r="L62" s="109">
        <v>4590281.96</v>
      </c>
      <c r="M62" s="183">
        <f>M61-M60</f>
        <v>289860</v>
      </c>
    </row>
    <row r="63" spans="1:13">
      <c r="A63" s="46" t="s">
        <v>283</v>
      </c>
      <c r="B63" s="387">
        <v>1214184.3500000001</v>
      </c>
      <c r="C63" s="387"/>
      <c r="I63" s="109">
        <v>4589687.1100000003</v>
      </c>
      <c r="J63" s="109">
        <v>16829861.079999998</v>
      </c>
      <c r="L63" s="109">
        <f>SUM(L57:L62)</f>
        <v>9670281.9600000009</v>
      </c>
      <c r="M63" s="46"/>
    </row>
    <row r="64" spans="1:13">
      <c r="B64" s="388">
        <f>SUM(B60:C63)</f>
        <v>6182884.3499999996</v>
      </c>
      <c r="C64" s="388"/>
      <c r="I64" s="116">
        <f>SUM(I58:I63)</f>
        <v>4689687.1100000003</v>
      </c>
      <c r="J64" s="109">
        <f>J62-J63</f>
        <v>-3479861.0799999982</v>
      </c>
      <c r="M64" s="109">
        <v>24416573.030000001</v>
      </c>
    </row>
    <row r="65" spans="1:13">
      <c r="I65" s="109">
        <v>7212797.6100000003</v>
      </c>
      <c r="M65" s="109">
        <v>24708913.030000001</v>
      </c>
    </row>
    <row r="66" spans="1:13">
      <c r="I66" s="109">
        <f>I64-I65</f>
        <v>-2523110.5</v>
      </c>
      <c r="M66" s="109">
        <f>M64-M65</f>
        <v>-292340</v>
      </c>
    </row>
    <row r="67" spans="1:13">
      <c r="I67" s="109"/>
      <c r="M67" s="109">
        <v>289860</v>
      </c>
    </row>
    <row r="68" spans="1:13">
      <c r="I68" s="109"/>
      <c r="J68" s="109">
        <v>25346381.800000001</v>
      </c>
      <c r="M68" s="173">
        <f>SUM(M66:M67)</f>
        <v>-2480</v>
      </c>
    </row>
    <row r="69" spans="1:13">
      <c r="I69" s="109"/>
      <c r="J69" s="109">
        <v>24042658.690000001</v>
      </c>
      <c r="M69" s="46"/>
    </row>
    <row r="70" spans="1:13">
      <c r="I70" s="109"/>
      <c r="J70" s="109">
        <f>J68-J69</f>
        <v>1303723.1099999994</v>
      </c>
      <c r="L70" s="109">
        <v>400000</v>
      </c>
      <c r="M70" s="46"/>
    </row>
    <row r="71" spans="1:13">
      <c r="I71" s="109"/>
      <c r="L71" s="109">
        <v>1000000</v>
      </c>
      <c r="M71" s="109">
        <v>25279.7</v>
      </c>
    </row>
    <row r="72" spans="1:13">
      <c r="I72" s="109"/>
      <c r="M72" s="109">
        <v>27759.7</v>
      </c>
    </row>
    <row r="73" spans="1:13">
      <c r="H73" s="109"/>
      <c r="I73" s="109"/>
      <c r="M73" s="173">
        <f>M71-M72</f>
        <v>-2480</v>
      </c>
    </row>
    <row r="74" spans="1:13">
      <c r="H74" s="109">
        <v>4455551.57</v>
      </c>
      <c r="I74" s="109"/>
      <c r="J74" s="109">
        <v>17496381.800000001</v>
      </c>
      <c r="M74" s="46"/>
    </row>
    <row r="75" spans="1:13">
      <c r="H75" s="109">
        <v>5760963.6399999997</v>
      </c>
      <c r="I75" s="109"/>
      <c r="J75" s="109">
        <v>7850000</v>
      </c>
      <c r="M75" s="46"/>
    </row>
    <row r="76" spans="1:13">
      <c r="H76" s="109">
        <f>SUM(H74:H75)</f>
        <v>10216515.210000001</v>
      </c>
      <c r="I76" s="109"/>
      <c r="J76" s="109">
        <f>SUM(J74:J75)</f>
        <v>25346381.800000001</v>
      </c>
      <c r="M76" s="46"/>
    </row>
    <row r="77" spans="1:13" s="109" customFormat="1">
      <c r="A77" s="46"/>
      <c r="B77" s="46"/>
      <c r="C77" s="46"/>
      <c r="D77" s="46"/>
      <c r="E77" s="46"/>
      <c r="F77" s="46"/>
      <c r="G77" s="46"/>
    </row>
    <row r="78" spans="1:13" s="109" customFormat="1">
      <c r="A78" s="46"/>
      <c r="B78" s="46"/>
      <c r="C78" s="46"/>
      <c r="D78" s="46"/>
      <c r="E78" s="46"/>
      <c r="F78" s="46"/>
      <c r="G78" s="46"/>
    </row>
    <row r="79" spans="1:13" s="109" customFormat="1">
      <c r="A79" s="46"/>
      <c r="B79" s="46"/>
      <c r="C79" s="46"/>
      <c r="D79" s="46"/>
      <c r="E79" s="46"/>
      <c r="F79" s="46"/>
      <c r="G79" s="46"/>
    </row>
    <row r="80" spans="1:13" s="109" customFormat="1">
      <c r="A80" s="46"/>
      <c r="B80" s="46"/>
      <c r="C80" s="46"/>
      <c r="D80" s="46"/>
      <c r="E80" s="46"/>
      <c r="F80" s="46"/>
      <c r="G80" s="46"/>
    </row>
    <row r="81" spans="1:11" s="109" customFormat="1">
      <c r="A81" s="46"/>
      <c r="B81" s="46"/>
      <c r="C81" s="46"/>
      <c r="D81" s="46"/>
      <c r="E81" s="46"/>
      <c r="F81" s="46"/>
      <c r="G81" s="46"/>
    </row>
    <row r="82" spans="1:11" s="109" customFormat="1">
      <c r="A82" s="46"/>
      <c r="B82" s="46"/>
      <c r="C82" s="46"/>
      <c r="D82" s="46"/>
      <c r="E82" s="46"/>
      <c r="F82" s="46"/>
      <c r="G82" s="46"/>
    </row>
    <row r="83" spans="1:11" s="109" customFormat="1">
      <c r="A83" s="46"/>
      <c r="B83" s="46"/>
      <c r="C83" s="46"/>
      <c r="D83" s="46"/>
      <c r="E83" s="46"/>
      <c r="F83" s="46"/>
      <c r="G83" s="46"/>
      <c r="H83" s="46"/>
    </row>
    <row r="84" spans="1:11" s="109" customFormat="1">
      <c r="A84" s="46"/>
      <c r="B84" s="46"/>
      <c r="C84" s="46"/>
      <c r="D84" s="46"/>
      <c r="E84" s="46"/>
      <c r="F84" s="46"/>
      <c r="G84" s="46"/>
      <c r="H84" s="46"/>
    </row>
    <row r="85" spans="1:11" s="109" customFormat="1">
      <c r="A85" s="46"/>
      <c r="B85" s="46"/>
      <c r="C85" s="46"/>
      <c r="D85" s="46"/>
      <c r="E85" s="46"/>
      <c r="F85" s="46"/>
      <c r="G85" s="46"/>
      <c r="H85" s="46"/>
    </row>
    <row r="86" spans="1:11" s="109" customFormat="1">
      <c r="A86" s="46"/>
      <c r="B86" s="46"/>
      <c r="C86" s="46"/>
      <c r="D86" s="46"/>
      <c r="E86" s="46"/>
      <c r="F86" s="46"/>
      <c r="G86" s="46"/>
      <c r="H86" s="46"/>
    </row>
    <row r="87" spans="1:11" s="109" customFormat="1">
      <c r="A87" s="46"/>
      <c r="B87" s="46"/>
      <c r="C87" s="46"/>
      <c r="D87" s="46"/>
      <c r="E87" s="46"/>
      <c r="F87" s="46"/>
      <c r="G87" s="46"/>
      <c r="H87" s="46"/>
      <c r="K87" s="46"/>
    </row>
    <row r="88" spans="1:11" s="109" customFormat="1">
      <c r="A88" s="46"/>
      <c r="B88" s="46"/>
      <c r="C88" s="46"/>
      <c r="D88" s="46"/>
      <c r="E88" s="46"/>
      <c r="F88" s="46"/>
      <c r="G88" s="46"/>
      <c r="H88" s="46"/>
      <c r="K88" s="46"/>
    </row>
    <row r="89" spans="1:11" s="109" customFormat="1">
      <c r="A89" s="46"/>
      <c r="B89" s="46"/>
      <c r="C89" s="46"/>
      <c r="D89" s="46"/>
      <c r="E89" s="46"/>
      <c r="F89" s="46"/>
      <c r="G89" s="46"/>
      <c r="H89" s="46"/>
      <c r="K89" s="46"/>
    </row>
    <row r="90" spans="1:11" s="109" customFormat="1">
      <c r="A90" s="46"/>
      <c r="B90" s="46"/>
      <c r="C90" s="46"/>
      <c r="D90" s="46"/>
      <c r="E90" s="46"/>
      <c r="F90" s="46"/>
      <c r="G90" s="46"/>
      <c r="H90" s="46"/>
      <c r="K90" s="46"/>
    </row>
    <row r="91" spans="1:11" s="109" customFormat="1">
      <c r="A91" s="46"/>
      <c r="B91" s="46"/>
      <c r="C91" s="46"/>
      <c r="D91" s="46"/>
      <c r="E91" s="46"/>
      <c r="F91" s="46"/>
      <c r="G91" s="46"/>
      <c r="H91" s="46"/>
      <c r="K91" s="46"/>
    </row>
    <row r="92" spans="1:11" s="109" customFormat="1">
      <c r="A92" s="46"/>
      <c r="B92" s="46"/>
      <c r="C92" s="46"/>
      <c r="D92" s="46"/>
      <c r="E92" s="46"/>
      <c r="F92" s="46"/>
      <c r="G92" s="46"/>
      <c r="H92" s="46"/>
      <c r="K92" s="46"/>
    </row>
    <row r="93" spans="1:11" s="109" customFormat="1">
      <c r="A93" s="46"/>
      <c r="B93" s="46"/>
      <c r="C93" s="46"/>
      <c r="D93" s="46"/>
      <c r="E93" s="46"/>
      <c r="F93" s="46"/>
      <c r="G93" s="46"/>
      <c r="H93" s="46"/>
      <c r="K93" s="46"/>
    </row>
    <row r="94" spans="1:11" s="109" customFormat="1">
      <c r="A94" s="46"/>
      <c r="B94" s="46"/>
      <c r="C94" s="46"/>
      <c r="D94" s="46"/>
      <c r="E94" s="46"/>
      <c r="F94" s="46"/>
      <c r="G94" s="46"/>
      <c r="H94" s="46"/>
      <c r="K94" s="46"/>
    </row>
    <row r="95" spans="1:11" s="109" customFormat="1">
      <c r="A95" s="46"/>
      <c r="B95" s="46"/>
      <c r="C95" s="46"/>
      <c r="D95" s="46"/>
      <c r="E95" s="46"/>
      <c r="F95" s="46"/>
      <c r="G95" s="46"/>
      <c r="H95" s="46"/>
      <c r="K95" s="46"/>
    </row>
    <row r="96" spans="1:11" s="109" customFormat="1">
      <c r="A96" s="46"/>
      <c r="B96" s="46"/>
      <c r="C96" s="46"/>
      <c r="D96" s="46"/>
      <c r="E96" s="46"/>
      <c r="F96" s="46"/>
      <c r="G96" s="46"/>
      <c r="H96" s="46"/>
      <c r="K96" s="46"/>
    </row>
    <row r="97" spans="1:11" s="109" customFormat="1">
      <c r="A97" s="46"/>
      <c r="B97" s="46"/>
      <c r="C97" s="46"/>
      <c r="D97" s="46"/>
      <c r="E97" s="46"/>
      <c r="F97" s="46"/>
      <c r="G97" s="46"/>
      <c r="H97" s="46"/>
      <c r="K97" s="46"/>
    </row>
    <row r="98" spans="1:11" s="109" customFormat="1">
      <c r="A98" s="46"/>
      <c r="B98" s="46"/>
      <c r="C98" s="46"/>
      <c r="D98" s="46"/>
      <c r="E98" s="46"/>
      <c r="F98" s="46"/>
      <c r="G98" s="46"/>
      <c r="H98" s="46"/>
      <c r="K98" s="46"/>
    </row>
    <row r="99" spans="1:11" s="109" customFormat="1">
      <c r="A99" s="46"/>
      <c r="B99" s="46"/>
      <c r="C99" s="46"/>
      <c r="D99" s="46"/>
      <c r="E99" s="46"/>
      <c r="F99" s="46"/>
      <c r="G99" s="46"/>
      <c r="H99" s="46"/>
      <c r="K99" s="46"/>
    </row>
  </sheetData>
  <mergeCells count="8">
    <mergeCell ref="B63:C63"/>
    <mergeCell ref="B64:C64"/>
    <mergeCell ref="A2:J2"/>
    <mergeCell ref="A3:J3"/>
    <mergeCell ref="A4:J4"/>
    <mergeCell ref="B60:C60"/>
    <mergeCell ref="B61:C61"/>
    <mergeCell ref="B62:C62"/>
  </mergeCells>
  <printOptions horizontalCentered="1"/>
  <pageMargins left="0.02" right="0.15" top="0.39" bottom="0.1" header="0.21" footer="0.1"/>
  <pageSetup scale="84" orientation="portrait" horizontalDpi="4294967294" verticalDpi="3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N99"/>
  <sheetViews>
    <sheetView topLeftCell="A31" workbookViewId="0">
      <selection activeCell="J18" sqref="J18"/>
    </sheetView>
  </sheetViews>
  <sheetFormatPr defaultRowHeight="12.75"/>
  <cols>
    <col min="1" max="1" width="6" style="46" customWidth="1"/>
    <col min="2" max="3" width="9.140625" style="46"/>
    <col min="4" max="4" width="16.5703125" style="46" customWidth="1"/>
    <col min="5" max="6" width="13.85546875" style="46" customWidth="1"/>
    <col min="7" max="7" width="10" style="46" customWidth="1"/>
    <col min="8" max="8" width="11.5703125" style="46" customWidth="1"/>
    <col min="9" max="9" width="11.42578125" style="46" customWidth="1"/>
    <col min="10" max="10" width="13.28515625" style="109" customWidth="1"/>
    <col min="11" max="11" width="15.7109375" style="46" customWidth="1"/>
    <col min="12" max="12" width="16.85546875" style="109" customWidth="1"/>
    <col min="13" max="13" width="17" style="109" customWidth="1"/>
    <col min="14" max="14" width="17" style="46" customWidth="1"/>
    <col min="15" max="16384" width="9.140625" style="46"/>
  </cols>
  <sheetData>
    <row r="1" spans="1:13">
      <c r="A1" s="47"/>
      <c r="B1" s="48"/>
      <c r="C1" s="48"/>
      <c r="D1" s="48"/>
      <c r="E1" s="48"/>
      <c r="F1" s="48"/>
      <c r="G1" s="48"/>
      <c r="H1" s="48"/>
      <c r="I1" s="48"/>
      <c r="J1" s="169" t="s">
        <v>81</v>
      </c>
    </row>
    <row r="2" spans="1:13">
      <c r="A2" s="389" t="s">
        <v>80</v>
      </c>
      <c r="B2" s="390"/>
      <c r="C2" s="390"/>
      <c r="D2" s="390"/>
      <c r="E2" s="390"/>
      <c r="F2" s="390"/>
      <c r="G2" s="390"/>
      <c r="H2" s="390"/>
      <c r="I2" s="390"/>
      <c r="J2" s="391"/>
    </row>
    <row r="3" spans="1:13">
      <c r="A3" s="389" t="s">
        <v>289</v>
      </c>
      <c r="B3" s="390"/>
      <c r="C3" s="390"/>
      <c r="D3" s="390"/>
      <c r="E3" s="390"/>
      <c r="F3" s="390"/>
      <c r="G3" s="390"/>
      <c r="H3" s="390"/>
      <c r="I3" s="390"/>
      <c r="J3" s="391"/>
    </row>
    <row r="4" spans="1:13">
      <c r="A4" s="389"/>
      <c r="B4" s="390"/>
      <c r="C4" s="390"/>
      <c r="D4" s="390"/>
      <c r="E4" s="390"/>
      <c r="F4" s="390"/>
      <c r="G4" s="390"/>
      <c r="H4" s="390"/>
      <c r="I4" s="390"/>
      <c r="J4" s="391"/>
    </row>
    <row r="5" spans="1:13">
      <c r="A5" s="54" t="s">
        <v>77</v>
      </c>
      <c r="B5" s="282"/>
      <c r="C5" s="282"/>
      <c r="D5" s="282"/>
      <c r="E5" s="282"/>
      <c r="F5" s="282"/>
      <c r="G5" s="282"/>
      <c r="H5" s="282"/>
      <c r="I5" s="282"/>
      <c r="J5" s="170"/>
    </row>
    <row r="6" spans="1:13">
      <c r="A6" s="54" t="s">
        <v>76</v>
      </c>
      <c r="B6" s="55"/>
      <c r="C6" s="55"/>
      <c r="D6" s="55"/>
      <c r="E6" s="55"/>
      <c r="F6" s="55"/>
      <c r="G6" s="55"/>
      <c r="H6" s="55" t="s">
        <v>278</v>
      </c>
      <c r="I6" s="55"/>
      <c r="J6" s="171"/>
      <c r="K6" s="46" t="s">
        <v>210</v>
      </c>
    </row>
    <row r="7" spans="1:13">
      <c r="A7" s="47"/>
      <c r="B7" s="48"/>
      <c r="C7" s="48"/>
      <c r="D7" s="49"/>
      <c r="E7" s="88" t="s">
        <v>8</v>
      </c>
      <c r="F7" s="50"/>
      <c r="G7" s="52"/>
      <c r="H7" s="52"/>
      <c r="I7" s="53"/>
      <c r="J7" s="110"/>
    </row>
    <row r="8" spans="1:13">
      <c r="A8" s="54"/>
      <c r="B8" s="55"/>
      <c r="C8" s="55"/>
      <c r="D8" s="56"/>
      <c r="E8" s="281" t="s">
        <v>9</v>
      </c>
      <c r="F8" s="53"/>
      <c r="G8" s="59"/>
      <c r="H8" s="59"/>
      <c r="I8" s="58"/>
      <c r="J8" s="111"/>
    </row>
    <row r="9" spans="1:13">
      <c r="A9" s="61" t="s">
        <v>68</v>
      </c>
      <c r="B9" s="55"/>
      <c r="C9" s="55"/>
      <c r="D9" s="56"/>
      <c r="E9" s="281" t="s">
        <v>10</v>
      </c>
      <c r="F9" s="60" t="s">
        <v>12</v>
      </c>
      <c r="G9" s="60" t="s">
        <v>14</v>
      </c>
      <c r="H9" s="60" t="s">
        <v>20</v>
      </c>
      <c r="I9" s="60" t="s">
        <v>22</v>
      </c>
      <c r="J9" s="112" t="s">
        <v>24</v>
      </c>
    </row>
    <row r="10" spans="1:13">
      <c r="A10" s="54"/>
      <c r="B10" s="55"/>
      <c r="C10" s="55"/>
      <c r="D10" s="56"/>
      <c r="E10" s="281" t="s">
        <v>11</v>
      </c>
      <c r="F10" s="60" t="s">
        <v>13</v>
      </c>
      <c r="G10" s="59"/>
      <c r="H10" s="60" t="s">
        <v>21</v>
      </c>
      <c r="I10" s="60" t="s">
        <v>23</v>
      </c>
      <c r="J10" s="111"/>
    </row>
    <row r="11" spans="1:13">
      <c r="A11" s="62"/>
      <c r="B11" s="63"/>
      <c r="C11" s="63"/>
      <c r="D11" s="64"/>
      <c r="E11" s="65">
        <v>0.3</v>
      </c>
      <c r="F11" s="66">
        <v>0.7</v>
      </c>
      <c r="G11" s="59"/>
      <c r="H11" s="67"/>
      <c r="I11" s="68"/>
      <c r="J11" s="113"/>
    </row>
    <row r="12" spans="1:13" ht="18" customHeight="1">
      <c r="A12" s="70" t="s">
        <v>0</v>
      </c>
      <c r="B12" s="71"/>
      <c r="C12" s="71"/>
      <c r="D12" s="72"/>
      <c r="E12" s="51"/>
      <c r="F12" s="51"/>
      <c r="G12" s="51"/>
      <c r="H12" s="51"/>
      <c r="I12" s="51"/>
      <c r="J12" s="110"/>
      <c r="L12" s="283" t="s">
        <v>90</v>
      </c>
      <c r="M12" s="283" t="s">
        <v>89</v>
      </c>
    </row>
    <row r="13" spans="1:13" ht="18" customHeight="1">
      <c r="A13" s="73" t="s">
        <v>1</v>
      </c>
      <c r="B13" s="72"/>
      <c r="C13" s="72"/>
      <c r="D13" s="72"/>
      <c r="E13" s="94">
        <f>M19*0.3</f>
        <v>681270.03540000017</v>
      </c>
      <c r="F13" s="94">
        <f>M19*0.7</f>
        <v>1589630.0826000003</v>
      </c>
      <c r="G13" s="94"/>
      <c r="H13" s="94"/>
      <c r="I13" s="94"/>
      <c r="J13" s="114">
        <f>SUM(E13:I13)</f>
        <v>2270900.1180000007</v>
      </c>
      <c r="K13" s="175" t="e">
        <f>SUM(J13+#REF!+#REF!+#REF!+#REF!+#REF!+#REF!+#REF!+#REF!+#REF!+#REF!+#REF!)</f>
        <v>#REF!</v>
      </c>
      <c r="L13" s="109">
        <v>21367644.399999999</v>
      </c>
      <c r="M13" s="109">
        <v>4171566.4</v>
      </c>
    </row>
    <row r="14" spans="1:13" ht="18" customHeight="1">
      <c r="A14" s="73" t="s">
        <v>2</v>
      </c>
      <c r="B14" s="72"/>
      <c r="C14" s="72"/>
      <c r="D14" s="72"/>
      <c r="E14" s="102"/>
      <c r="F14" s="102"/>
      <c r="G14" s="102"/>
      <c r="H14" s="102"/>
      <c r="I14" s="102"/>
      <c r="J14" s="110"/>
      <c r="K14" s="117" t="s">
        <v>88</v>
      </c>
      <c r="L14" s="109">
        <v>9400000</v>
      </c>
      <c r="M14" s="109">
        <v>5637398.9699999997</v>
      </c>
    </row>
    <row r="15" spans="1:13" ht="18" customHeight="1">
      <c r="A15" s="75" t="s">
        <v>3</v>
      </c>
      <c r="B15" s="48"/>
      <c r="C15" s="48"/>
      <c r="D15" s="48"/>
      <c r="E15" s="102"/>
      <c r="F15" s="102"/>
      <c r="G15" s="102"/>
      <c r="H15" s="102"/>
      <c r="I15" s="102"/>
      <c r="J15" s="110"/>
      <c r="L15" s="116">
        <f>SUM(L13:L14)</f>
        <v>30767644.399999999</v>
      </c>
      <c r="M15" s="116">
        <f>SUM(M13:M14)</f>
        <v>9808965.3699999992</v>
      </c>
    </row>
    <row r="16" spans="1:13" ht="18" customHeight="1">
      <c r="A16" s="76" t="s">
        <v>78</v>
      </c>
      <c r="B16" s="55"/>
      <c r="C16" s="55"/>
      <c r="D16" s="55"/>
      <c r="E16" s="103"/>
      <c r="F16" s="103"/>
      <c r="G16" s="103"/>
      <c r="H16" s="103"/>
      <c r="I16" s="103"/>
      <c r="J16" s="113"/>
      <c r="K16" s="46">
        <v>11930281.960000001</v>
      </c>
    </row>
    <row r="17" spans="1:14" ht="18" customHeight="1">
      <c r="A17" s="77" t="s">
        <v>79</v>
      </c>
      <c r="B17" s="72"/>
      <c r="C17" s="72"/>
      <c r="D17" s="72"/>
      <c r="E17" s="94"/>
      <c r="F17" s="94"/>
      <c r="G17" s="94"/>
      <c r="H17" s="94"/>
      <c r="I17" s="94"/>
      <c r="J17" s="113">
        <f>SUM(E17:I17)</f>
        <v>0</v>
      </c>
      <c r="K17" s="173">
        <f>K16-J16</f>
        <v>11930281.960000001</v>
      </c>
      <c r="M17" s="109">
        <v>25936573.030000001</v>
      </c>
    </row>
    <row r="18" spans="1:14" ht="18" customHeight="1">
      <c r="A18" s="70" t="s">
        <v>7</v>
      </c>
      <c r="B18" s="72"/>
      <c r="C18" s="72"/>
      <c r="D18" s="72"/>
      <c r="E18" s="119">
        <f>SUM(E13:E17)</f>
        <v>681270.03540000017</v>
      </c>
      <c r="F18" s="119">
        <f t="shared" ref="F18:J18" si="0">SUM(F13:F17)</f>
        <v>1589630.0826000003</v>
      </c>
      <c r="G18" s="119">
        <f t="shared" si="0"/>
        <v>0</v>
      </c>
      <c r="H18" s="119">
        <f t="shared" si="0"/>
        <v>0</v>
      </c>
      <c r="I18" s="119">
        <f t="shared" si="0"/>
        <v>0</v>
      </c>
      <c r="J18" s="302">
        <f t="shared" si="0"/>
        <v>2270900.1180000007</v>
      </c>
      <c r="K18" s="166">
        <f t="shared" ref="K18:K45" si="1">SUM(E18:I18)</f>
        <v>2270900.1180000007</v>
      </c>
      <c r="L18" s="193" t="s">
        <v>171</v>
      </c>
      <c r="M18" s="192">
        <f>259729487.87-214311485.51</f>
        <v>45418002.360000014</v>
      </c>
    </row>
    <row r="19" spans="1:14" s="109" customFormat="1" ht="18" customHeight="1">
      <c r="A19" s="74" t="s">
        <v>99</v>
      </c>
      <c r="B19" s="72" t="s">
        <v>100</v>
      </c>
      <c r="C19" s="72"/>
      <c r="D19" s="72"/>
      <c r="E19" s="94">
        <f>SUM('DRRM Funds FEB''2016 '!E46)</f>
        <v>24908770.422650002</v>
      </c>
      <c r="F19" s="94">
        <f>SUM('DRRM Funds FEB''2016 '!F46)</f>
        <v>24783012.472850002</v>
      </c>
      <c r="G19" s="94">
        <f>SUM('DRRM Funds FEB''2016 '!G46)</f>
        <v>0</v>
      </c>
      <c r="H19" s="94">
        <f>SUM('DRRM Funds FEB''2016 '!H46)</f>
        <v>0</v>
      </c>
      <c r="I19" s="94">
        <f>SUM('DRRM Funds FEB''2016 '!I46)</f>
        <v>0</v>
      </c>
      <c r="J19" s="94">
        <f>SUM('DRRM Funds FEB''2016 '!J46)</f>
        <v>49691782.895499997</v>
      </c>
      <c r="K19" s="166">
        <f t="shared" si="1"/>
        <v>49691782.895500004</v>
      </c>
      <c r="L19" s="194">
        <v>0.05</v>
      </c>
      <c r="M19" s="269">
        <f>M18*0.05</f>
        <v>2270900.1180000007</v>
      </c>
    </row>
    <row r="20" spans="1:14" s="109" customFormat="1" ht="18" customHeight="1">
      <c r="A20" s="70" t="s">
        <v>101</v>
      </c>
      <c r="B20" s="122"/>
      <c r="C20" s="72"/>
      <c r="D20" s="72"/>
      <c r="E20" s="119">
        <f>SUM(E18:E19)</f>
        <v>25590040.458050001</v>
      </c>
      <c r="F20" s="119">
        <f t="shared" ref="F20:J20" si="2">SUM(F18:F19)</f>
        <v>26372642.555450004</v>
      </c>
      <c r="G20" s="119">
        <f>SUM(G18:G19)</f>
        <v>0</v>
      </c>
      <c r="H20" s="119">
        <f t="shared" si="2"/>
        <v>0</v>
      </c>
      <c r="I20" s="119">
        <f t="shared" si="2"/>
        <v>0</v>
      </c>
      <c r="J20" s="119">
        <f t="shared" si="2"/>
        <v>51962683.013499998</v>
      </c>
      <c r="K20" s="166">
        <f t="shared" si="1"/>
        <v>51962683.013500005</v>
      </c>
    </row>
    <row r="21" spans="1:14" ht="18" customHeight="1">
      <c r="A21" s="70" t="s">
        <v>15</v>
      </c>
      <c r="B21" s="72"/>
      <c r="C21" s="72"/>
      <c r="D21" s="72"/>
      <c r="E21" s="94"/>
      <c r="F21" s="94"/>
      <c r="G21" s="94"/>
      <c r="H21" s="94"/>
      <c r="I21" s="94"/>
      <c r="J21" s="114"/>
      <c r="K21" s="166">
        <f t="shared" si="1"/>
        <v>0</v>
      </c>
      <c r="M21" s="109">
        <v>26972032.48</v>
      </c>
    </row>
    <row r="22" spans="1:14" ht="18" customHeight="1">
      <c r="A22" s="77" t="s">
        <v>206</v>
      </c>
      <c r="B22" s="263"/>
      <c r="C22" s="263"/>
      <c r="D22" s="263"/>
      <c r="E22" s="94"/>
      <c r="F22" s="94"/>
      <c r="G22" s="94"/>
      <c r="H22" s="94"/>
      <c r="I22" s="94"/>
      <c r="J22" s="114">
        <f>SUM(E22:I22)</f>
        <v>0</v>
      </c>
      <c r="K22" s="166"/>
    </row>
    <row r="23" spans="1:14" ht="18" customHeight="1">
      <c r="A23" s="77" t="s">
        <v>251</v>
      </c>
      <c r="B23" s="263"/>
      <c r="C23" s="263"/>
      <c r="D23" s="263"/>
      <c r="E23" s="94"/>
      <c r="F23" s="94"/>
      <c r="G23" s="94"/>
      <c r="H23" s="94"/>
      <c r="I23" s="94"/>
      <c r="J23" s="114">
        <f t="shared" ref="J23:J42" si="3">SUM(E23:I23)</f>
        <v>0</v>
      </c>
      <c r="K23" s="166">
        <f t="shared" si="1"/>
        <v>0</v>
      </c>
      <c r="L23" s="176">
        <f>518731460.56*0.05</f>
        <v>25936573.028000001</v>
      </c>
      <c r="M23" s="109">
        <v>125607.13</v>
      </c>
    </row>
    <row r="24" spans="1:14" ht="18" customHeight="1">
      <c r="A24" s="290" t="s">
        <v>229</v>
      </c>
      <c r="B24" s="291"/>
      <c r="C24" s="291"/>
      <c r="D24" s="291"/>
      <c r="E24" s="292"/>
      <c r="F24" s="292"/>
      <c r="G24" s="292"/>
      <c r="H24" s="292"/>
      <c r="I24" s="292"/>
      <c r="J24" s="114">
        <f t="shared" si="3"/>
        <v>0</v>
      </c>
      <c r="K24" s="166"/>
      <c r="L24" s="228"/>
    </row>
    <row r="25" spans="1:14" ht="18" customHeight="1">
      <c r="A25" s="290" t="s">
        <v>252</v>
      </c>
      <c r="B25" s="291"/>
      <c r="C25" s="291"/>
      <c r="D25" s="291"/>
      <c r="E25" s="292"/>
      <c r="F25" s="292">
        <v>317200</v>
      </c>
      <c r="G25" s="292"/>
      <c r="H25" s="292"/>
      <c r="I25" s="292"/>
      <c r="J25" s="114">
        <f t="shared" si="3"/>
        <v>317200</v>
      </c>
      <c r="K25" s="166">
        <f t="shared" si="1"/>
        <v>317200</v>
      </c>
      <c r="M25" s="232" t="s">
        <v>236</v>
      </c>
    </row>
    <row r="26" spans="1:14" ht="18" customHeight="1">
      <c r="A26" s="290" t="s">
        <v>276</v>
      </c>
      <c r="B26" s="291"/>
      <c r="C26" s="291"/>
      <c r="D26" s="291"/>
      <c r="E26" s="292"/>
      <c r="F26" s="292">
        <v>813605.76</v>
      </c>
      <c r="G26" s="292"/>
      <c r="H26" s="292"/>
      <c r="I26" s="292"/>
      <c r="J26" s="114">
        <f t="shared" si="3"/>
        <v>813605.76</v>
      </c>
      <c r="K26" s="166">
        <f t="shared" si="1"/>
        <v>813605.76</v>
      </c>
      <c r="M26" s="229">
        <v>275607.13</v>
      </c>
      <c r="N26" s="46" t="s">
        <v>230</v>
      </c>
    </row>
    <row r="27" spans="1:14" ht="18" customHeight="1">
      <c r="A27" s="293" t="s">
        <v>275</v>
      </c>
      <c r="B27" s="291"/>
      <c r="C27" s="291"/>
      <c r="D27" s="291"/>
      <c r="E27" s="292"/>
      <c r="F27" s="292">
        <v>199200</v>
      </c>
      <c r="G27" s="292"/>
      <c r="H27" s="292"/>
      <c r="I27" s="292"/>
      <c r="J27" s="114">
        <f t="shared" si="3"/>
        <v>199200</v>
      </c>
      <c r="K27" s="166">
        <f t="shared" si="1"/>
        <v>199200</v>
      </c>
      <c r="M27" s="229">
        <v>695000</v>
      </c>
      <c r="N27" s="46" t="s">
        <v>232</v>
      </c>
    </row>
    <row r="28" spans="1:14" ht="18" customHeight="1">
      <c r="A28" s="290" t="s">
        <v>274</v>
      </c>
      <c r="B28" s="291"/>
      <c r="C28" s="291"/>
      <c r="D28" s="291"/>
      <c r="E28" s="292"/>
      <c r="F28" s="292"/>
      <c r="G28" s="292"/>
      <c r="H28" s="292"/>
      <c r="I28" s="292"/>
      <c r="J28" s="114">
        <f t="shared" si="3"/>
        <v>0</v>
      </c>
      <c r="K28" s="166">
        <f t="shared" si="1"/>
        <v>0</v>
      </c>
      <c r="M28" s="229">
        <v>1470000</v>
      </c>
      <c r="N28" s="46" t="s">
        <v>233</v>
      </c>
    </row>
    <row r="29" spans="1:14" ht="18" customHeight="1">
      <c r="A29" s="290" t="s">
        <v>227</v>
      </c>
      <c r="B29" s="291"/>
      <c r="C29" s="291"/>
      <c r="D29" s="291"/>
      <c r="E29" s="292"/>
      <c r="F29" s="292"/>
      <c r="G29" s="292"/>
      <c r="H29" s="292"/>
      <c r="I29" s="292"/>
      <c r="J29" s="114">
        <f t="shared" si="3"/>
        <v>0</v>
      </c>
      <c r="K29" s="166">
        <f t="shared" si="1"/>
        <v>0</v>
      </c>
      <c r="L29" s="283"/>
      <c r="M29" s="229">
        <v>3071228.76</v>
      </c>
      <c r="N29" s="46" t="s">
        <v>231</v>
      </c>
    </row>
    <row r="30" spans="1:14" ht="18" customHeight="1">
      <c r="A30" s="290" t="s">
        <v>273</v>
      </c>
      <c r="B30" s="291"/>
      <c r="C30" s="291"/>
      <c r="D30" s="291"/>
      <c r="E30" s="292"/>
      <c r="F30" s="292"/>
      <c r="G30" s="292"/>
      <c r="H30" s="292"/>
      <c r="I30" s="292"/>
      <c r="J30" s="114">
        <f t="shared" si="3"/>
        <v>0</v>
      </c>
      <c r="K30" s="166"/>
      <c r="L30" s="283"/>
      <c r="M30" s="229">
        <v>5009130</v>
      </c>
      <c r="N30" s="46" t="s">
        <v>234</v>
      </c>
    </row>
    <row r="31" spans="1:14" ht="18" customHeight="1">
      <c r="A31" s="290" t="s">
        <v>213</v>
      </c>
      <c r="B31" s="291"/>
      <c r="C31" s="291"/>
      <c r="D31" s="291"/>
      <c r="E31" s="292"/>
      <c r="F31" s="292"/>
      <c r="G31" s="292"/>
      <c r="H31" s="292"/>
      <c r="I31" s="292"/>
      <c r="J31" s="114">
        <f t="shared" si="3"/>
        <v>0</v>
      </c>
      <c r="K31" s="166"/>
      <c r="L31" s="283"/>
      <c r="M31" s="230">
        <v>1900100</v>
      </c>
      <c r="N31" s="46" t="s">
        <v>235</v>
      </c>
    </row>
    <row r="32" spans="1:14" ht="18" customHeight="1">
      <c r="A32" s="290" t="s">
        <v>250</v>
      </c>
      <c r="B32" s="291"/>
      <c r="C32" s="291"/>
      <c r="D32" s="291"/>
      <c r="E32" s="292"/>
      <c r="F32" s="292"/>
      <c r="G32" s="292"/>
      <c r="H32" s="292"/>
      <c r="I32" s="292"/>
      <c r="J32" s="114">
        <f t="shared" si="3"/>
        <v>0</v>
      </c>
      <c r="K32" s="166"/>
      <c r="L32" s="283"/>
      <c r="M32" s="289">
        <f>SUM(M26:M31)</f>
        <v>12421065.890000001</v>
      </c>
    </row>
    <row r="33" spans="1:13" ht="18" customHeight="1">
      <c r="A33" s="290" t="s">
        <v>214</v>
      </c>
      <c r="B33" s="291"/>
      <c r="C33" s="291"/>
      <c r="D33" s="291"/>
      <c r="E33" s="292"/>
      <c r="F33" s="292"/>
      <c r="G33" s="292"/>
      <c r="H33" s="292"/>
      <c r="I33" s="292"/>
      <c r="J33" s="114">
        <f t="shared" si="3"/>
        <v>0</v>
      </c>
      <c r="K33" s="227"/>
      <c r="L33" s="283"/>
    </row>
    <row r="34" spans="1:13" ht="18" customHeight="1">
      <c r="A34" s="290" t="s">
        <v>249</v>
      </c>
      <c r="B34" s="291"/>
      <c r="C34" s="291"/>
      <c r="D34" s="291"/>
      <c r="E34" s="292"/>
      <c r="F34" s="292"/>
      <c r="G34" s="292"/>
      <c r="H34" s="292"/>
      <c r="I34" s="292"/>
      <c r="J34" s="114">
        <f t="shared" si="3"/>
        <v>0</v>
      </c>
      <c r="K34" s="265"/>
      <c r="L34" s="283"/>
    </row>
    <row r="35" spans="1:13" ht="18" customHeight="1">
      <c r="A35" s="290" t="s">
        <v>222</v>
      </c>
      <c r="B35" s="291"/>
      <c r="C35" s="291"/>
      <c r="D35" s="291"/>
      <c r="E35" s="292"/>
      <c r="F35" s="292"/>
      <c r="G35" s="292"/>
      <c r="H35" s="292"/>
      <c r="I35" s="292"/>
      <c r="J35" s="114">
        <f t="shared" si="3"/>
        <v>0</v>
      </c>
      <c r="K35" s="266">
        <f t="shared" si="1"/>
        <v>0</v>
      </c>
      <c r="L35" s="109">
        <f>SUM(F29:F35)</f>
        <v>0</v>
      </c>
    </row>
    <row r="36" spans="1:13" ht="18" customHeight="1">
      <c r="A36" s="290" t="s">
        <v>223</v>
      </c>
      <c r="B36" s="291"/>
      <c r="C36" s="291"/>
      <c r="D36" s="291"/>
      <c r="E36" s="292"/>
      <c r="F36" s="292"/>
      <c r="G36" s="292"/>
      <c r="H36" s="292"/>
      <c r="I36" s="292"/>
      <c r="J36" s="114">
        <f t="shared" si="3"/>
        <v>0</v>
      </c>
      <c r="K36" s="166">
        <f t="shared" si="1"/>
        <v>0</v>
      </c>
      <c r="L36" s="109">
        <v>147060</v>
      </c>
    </row>
    <row r="37" spans="1:13" ht="18" customHeight="1">
      <c r="A37" s="290" t="s">
        <v>168</v>
      </c>
      <c r="B37" s="291"/>
      <c r="C37" s="291"/>
      <c r="D37" s="291"/>
      <c r="E37" s="292"/>
      <c r="F37" s="292"/>
      <c r="G37" s="292"/>
      <c r="H37" s="292"/>
      <c r="I37" s="292"/>
      <c r="J37" s="114">
        <f t="shared" si="3"/>
        <v>0</v>
      </c>
      <c r="K37" s="166">
        <f t="shared" si="1"/>
        <v>0</v>
      </c>
    </row>
    <row r="38" spans="1:13" ht="18" customHeight="1">
      <c r="A38" s="290" t="s">
        <v>225</v>
      </c>
      <c r="B38" s="291"/>
      <c r="C38" s="291"/>
      <c r="D38" s="291"/>
      <c r="E38" s="292"/>
      <c r="F38" s="292"/>
      <c r="G38" s="292"/>
      <c r="H38" s="292"/>
      <c r="I38" s="292"/>
      <c r="J38" s="114">
        <f t="shared" si="3"/>
        <v>0</v>
      </c>
      <c r="K38" s="166">
        <f t="shared" si="1"/>
        <v>0</v>
      </c>
      <c r="L38" s="109">
        <v>1555500</v>
      </c>
    </row>
    <row r="39" spans="1:13" ht="18" customHeight="1">
      <c r="A39" s="290" t="s">
        <v>207</v>
      </c>
      <c r="B39" s="291"/>
      <c r="C39" s="291"/>
      <c r="D39" s="291"/>
      <c r="E39" s="292"/>
      <c r="F39" s="292">
        <v>44682</v>
      </c>
      <c r="G39" s="292"/>
      <c r="H39" s="292"/>
      <c r="I39" s="292"/>
      <c r="J39" s="114">
        <f t="shared" si="3"/>
        <v>44682</v>
      </c>
      <c r="K39" s="166"/>
    </row>
    <row r="40" spans="1:13" ht="18" customHeight="1">
      <c r="A40" s="83" t="s">
        <v>94</v>
      </c>
      <c r="B40" s="263"/>
      <c r="C40" s="263"/>
      <c r="D40" s="263"/>
      <c r="E40" s="94"/>
      <c r="F40" s="94"/>
      <c r="G40" s="94"/>
      <c r="H40" s="94"/>
      <c r="I40" s="94"/>
      <c r="J40" s="114">
        <f t="shared" si="3"/>
        <v>0</v>
      </c>
      <c r="K40" s="166">
        <f t="shared" si="1"/>
        <v>0</v>
      </c>
      <c r="L40" s="109">
        <v>177000</v>
      </c>
    </row>
    <row r="41" spans="1:13" ht="18" customHeight="1">
      <c r="A41" s="83" t="s">
        <v>95</v>
      </c>
      <c r="B41" s="263"/>
      <c r="C41" s="263"/>
      <c r="D41" s="263"/>
      <c r="E41" s="94"/>
      <c r="F41" s="94"/>
      <c r="G41" s="94"/>
      <c r="H41" s="94"/>
      <c r="I41" s="94"/>
      <c r="J41" s="114">
        <f t="shared" si="3"/>
        <v>0</v>
      </c>
      <c r="K41" s="166">
        <f t="shared" si="1"/>
        <v>0</v>
      </c>
      <c r="L41" s="109">
        <v>204055</v>
      </c>
    </row>
    <row r="42" spans="1:13" ht="18" customHeight="1">
      <c r="A42" s="77" t="s">
        <v>96</v>
      </c>
      <c r="B42" s="263"/>
      <c r="C42" s="263"/>
      <c r="D42" s="263"/>
      <c r="E42" s="94"/>
      <c r="F42" s="94"/>
      <c r="G42" s="94"/>
      <c r="H42" s="94"/>
      <c r="I42" s="94"/>
      <c r="J42" s="114">
        <f t="shared" si="3"/>
        <v>0</v>
      </c>
      <c r="K42" s="166">
        <f t="shared" si="1"/>
        <v>0</v>
      </c>
      <c r="L42" s="109">
        <v>71070</v>
      </c>
    </row>
    <row r="43" spans="1:13" ht="18" customHeight="1">
      <c r="A43" s="84" t="s">
        <v>92</v>
      </c>
      <c r="B43" s="63"/>
      <c r="C43" s="63"/>
      <c r="D43" s="63"/>
      <c r="E43" s="94">
        <f>SUM(E22:E42)</f>
        <v>0</v>
      </c>
      <c r="F43" s="94">
        <f t="shared" ref="F43:J43" si="4">SUM(F22:F42)</f>
        <v>1374687.76</v>
      </c>
      <c r="G43" s="94">
        <f>SUM(G22:G42)</f>
        <v>0</v>
      </c>
      <c r="H43" s="94">
        <f t="shared" si="4"/>
        <v>0</v>
      </c>
      <c r="I43" s="94">
        <f t="shared" si="4"/>
        <v>0</v>
      </c>
      <c r="J43" s="301">
        <f t="shared" si="4"/>
        <v>1374687.76</v>
      </c>
      <c r="K43" s="166">
        <f t="shared" si="1"/>
        <v>1374687.76</v>
      </c>
      <c r="L43" s="109">
        <v>27800</v>
      </c>
      <c r="M43" s="46"/>
    </row>
    <row r="44" spans="1:13" ht="18" customHeight="1">
      <c r="A44" s="84" t="s">
        <v>103</v>
      </c>
      <c r="B44" s="63"/>
      <c r="C44" s="63"/>
      <c r="D44" s="63"/>
      <c r="E44" s="103">
        <f>SUM('DRRM Funds FEB''2016 '!E45)</f>
        <v>0</v>
      </c>
      <c r="F44" s="103">
        <f>SUM('DRRM Funds FEB''2016 '!F45)</f>
        <v>2809831.5</v>
      </c>
      <c r="G44" s="103">
        <f>SUM('DRRM Funds FEB''2016 '!G45)</f>
        <v>0</v>
      </c>
      <c r="H44" s="103">
        <f>SUM('DRRM Funds FEB''2016 '!H45)</f>
        <v>0</v>
      </c>
      <c r="I44" s="103">
        <f>SUM('DRRM Funds FEB''2016 '!I45)</f>
        <v>0</v>
      </c>
      <c r="J44" s="103">
        <f>SUM('DRRM Funds FEB''2016 '!J45)</f>
        <v>2809831.5</v>
      </c>
      <c r="K44" s="166">
        <f t="shared" si="1"/>
        <v>2809831.5</v>
      </c>
      <c r="L44" s="109">
        <v>126865</v>
      </c>
      <c r="M44" s="109">
        <f>SUM(E44:H44)</f>
        <v>2809831.5</v>
      </c>
    </row>
    <row r="45" spans="1:13" ht="18" customHeight="1">
      <c r="A45" s="84" t="s">
        <v>104</v>
      </c>
      <c r="B45" s="63"/>
      <c r="C45" s="63"/>
      <c r="D45" s="63"/>
      <c r="E45" s="103">
        <f>SUM(E43:E44)</f>
        <v>0</v>
      </c>
      <c r="F45" s="103">
        <f t="shared" ref="F45:J45" si="5">SUM(F43:F44)</f>
        <v>4184519.26</v>
      </c>
      <c r="G45" s="103">
        <f t="shared" si="5"/>
        <v>0</v>
      </c>
      <c r="H45" s="103">
        <f t="shared" si="5"/>
        <v>0</v>
      </c>
      <c r="I45" s="103">
        <f t="shared" si="5"/>
        <v>0</v>
      </c>
      <c r="J45" s="103">
        <f t="shared" si="5"/>
        <v>4184519.26</v>
      </c>
      <c r="K45" s="166">
        <f t="shared" si="1"/>
        <v>4184519.26</v>
      </c>
      <c r="L45" s="174">
        <f>SUM(L35:L44)</f>
        <v>2309350</v>
      </c>
      <c r="M45" s="109">
        <v>10492358.970000001</v>
      </c>
    </row>
    <row r="46" spans="1:13" ht="18" customHeight="1">
      <c r="A46" s="70" t="s">
        <v>93</v>
      </c>
      <c r="B46" s="72"/>
      <c r="C46" s="72"/>
      <c r="D46" s="80"/>
      <c r="E46" s="231">
        <f t="shared" ref="E46:J46" si="6">E20-E43</f>
        <v>25590040.458050001</v>
      </c>
      <c r="F46" s="231">
        <f t="shared" si="6"/>
        <v>24997954.795450002</v>
      </c>
      <c r="G46" s="231">
        <f>G20-G43</f>
        <v>0</v>
      </c>
      <c r="H46" s="231">
        <f t="shared" si="6"/>
        <v>0</v>
      </c>
      <c r="I46" s="231">
        <f t="shared" si="6"/>
        <v>0</v>
      </c>
      <c r="J46" s="231">
        <f t="shared" si="6"/>
        <v>50587995.2535</v>
      </c>
      <c r="K46" s="166">
        <f>SUM(E46:I46)</f>
        <v>50587995.2535</v>
      </c>
      <c r="L46" s="46"/>
      <c r="M46" s="109">
        <f>M45-L45</f>
        <v>8183008.9700000007</v>
      </c>
    </row>
    <row r="47" spans="1:13" ht="18" customHeight="1">
      <c r="A47" s="55"/>
      <c r="B47" s="55"/>
      <c r="C47" s="55"/>
      <c r="D47" s="55"/>
      <c r="E47" s="55"/>
      <c r="F47" s="55"/>
      <c r="G47" s="55"/>
      <c r="H47" s="55"/>
      <c r="I47" s="55"/>
      <c r="J47" s="115" t="s">
        <v>74</v>
      </c>
      <c r="K47" s="92">
        <f>SUM(E46:F46)</f>
        <v>50587995.2535</v>
      </c>
      <c r="M47" s="109">
        <v>0</v>
      </c>
    </row>
    <row r="48" spans="1:13">
      <c r="A48" s="55" t="s">
        <v>83</v>
      </c>
      <c r="B48" s="55"/>
      <c r="C48" s="55"/>
      <c r="D48" s="55"/>
      <c r="E48" s="55"/>
      <c r="F48" s="55"/>
      <c r="G48" s="55"/>
      <c r="H48" s="55" t="s">
        <v>29</v>
      </c>
      <c r="I48" s="55"/>
      <c r="J48" s="115"/>
      <c r="K48" s="55"/>
      <c r="L48" s="109">
        <v>752760</v>
      </c>
    </row>
    <row r="49" spans="1:13">
      <c r="A49" s="55"/>
      <c r="B49" s="55"/>
      <c r="C49" s="55"/>
      <c r="D49" s="55"/>
      <c r="E49" s="55"/>
      <c r="F49" s="55"/>
      <c r="G49" s="55"/>
      <c r="H49" s="55"/>
      <c r="I49" s="55"/>
      <c r="J49" s="115"/>
      <c r="K49" s="55"/>
      <c r="L49" s="109">
        <v>902075</v>
      </c>
    </row>
    <row r="50" spans="1:13">
      <c r="A50" s="82" t="s">
        <v>202</v>
      </c>
      <c r="B50" s="55"/>
      <c r="C50" s="55"/>
      <c r="D50" s="55"/>
      <c r="E50" s="55"/>
      <c r="F50" s="55"/>
      <c r="G50" s="55"/>
      <c r="H50" s="241" t="s">
        <v>194</v>
      </c>
      <c r="I50" s="55"/>
      <c r="J50" s="115"/>
      <c r="K50" s="55"/>
      <c r="L50" s="109">
        <v>504234.65</v>
      </c>
      <c r="M50" s="109">
        <v>8736531.7100000009</v>
      </c>
    </row>
    <row r="51" spans="1:13">
      <c r="A51" s="140" t="s">
        <v>287</v>
      </c>
      <c r="B51" s="55"/>
      <c r="C51" s="55"/>
      <c r="D51" s="55"/>
      <c r="E51" s="55"/>
      <c r="F51" s="55"/>
      <c r="G51" s="55"/>
      <c r="H51" s="140" t="s">
        <v>195</v>
      </c>
      <c r="I51" s="55"/>
      <c r="J51" s="115"/>
      <c r="K51" s="55"/>
      <c r="L51" s="109">
        <v>899145</v>
      </c>
      <c r="M51" s="109">
        <v>10140</v>
      </c>
    </row>
    <row r="52" spans="1:13">
      <c r="A52" s="55"/>
      <c r="B52" s="55"/>
      <c r="C52" s="55"/>
      <c r="D52" s="55"/>
      <c r="E52" s="121" t="s">
        <v>237</v>
      </c>
      <c r="F52" s="55"/>
      <c r="G52" s="55"/>
      <c r="H52" s="55"/>
      <c r="I52" s="55"/>
      <c r="J52" s="115"/>
      <c r="K52" s="55"/>
      <c r="L52" s="109">
        <v>1087927.3999999999</v>
      </c>
      <c r="M52" s="109">
        <f>SUM(M50:M51)</f>
        <v>8746671.7100000009</v>
      </c>
    </row>
    <row r="53" spans="1:13">
      <c r="A53" s="55"/>
      <c r="B53" s="55"/>
      <c r="C53" s="55"/>
      <c r="D53" s="55"/>
      <c r="E53" s="115"/>
      <c r="F53" s="55"/>
      <c r="G53" s="55"/>
      <c r="H53" s="55"/>
      <c r="I53" s="115"/>
      <c r="J53" s="115"/>
      <c r="K53" s="55"/>
      <c r="L53" s="109">
        <v>2896515.5</v>
      </c>
    </row>
    <row r="54" spans="1:13">
      <c r="A54" s="55"/>
      <c r="B54" s="55"/>
      <c r="C54" s="55"/>
      <c r="D54" s="55"/>
      <c r="E54" s="82" t="s">
        <v>149</v>
      </c>
      <c r="F54" s="55"/>
      <c r="G54" s="55"/>
      <c r="H54" s="55"/>
      <c r="I54" s="115"/>
      <c r="J54" s="115"/>
      <c r="K54" s="55"/>
    </row>
    <row r="55" spans="1:13">
      <c r="A55" s="55"/>
      <c r="B55" s="55"/>
      <c r="C55" s="55"/>
      <c r="D55" s="55"/>
      <c r="E55" s="55" t="s">
        <v>238</v>
      </c>
      <c r="F55" s="55"/>
      <c r="G55" s="55"/>
      <c r="H55" s="55"/>
      <c r="I55" s="115"/>
      <c r="J55" s="115"/>
      <c r="K55" s="55"/>
      <c r="L55" s="109">
        <v>120000</v>
      </c>
    </row>
    <row r="56" spans="1:13">
      <c r="I56" s="109"/>
      <c r="M56" s="46"/>
    </row>
    <row r="57" spans="1:13">
      <c r="F57" s="121"/>
      <c r="I57" s="109"/>
      <c r="K57" s="55"/>
      <c r="L57" s="115">
        <v>630000</v>
      </c>
      <c r="M57" s="183">
        <v>10644424.82</v>
      </c>
    </row>
    <row r="58" spans="1:13">
      <c r="B58" s="276" t="s">
        <v>236</v>
      </c>
      <c r="F58" s="115"/>
      <c r="I58" s="109"/>
      <c r="J58" s="109">
        <v>7850000</v>
      </c>
      <c r="L58" s="109">
        <v>1000000</v>
      </c>
      <c r="M58" s="183">
        <v>13157941.960000001</v>
      </c>
    </row>
    <row r="59" spans="1:13">
      <c r="I59" s="109"/>
      <c r="J59" s="109">
        <v>800000</v>
      </c>
      <c r="L59" s="109">
        <v>1300000</v>
      </c>
      <c r="M59" s="184">
        <v>0</v>
      </c>
    </row>
    <row r="60" spans="1:13">
      <c r="A60" s="46" t="s">
        <v>282</v>
      </c>
      <c r="B60" s="392">
        <f>1493800+99900</f>
        <v>1593700</v>
      </c>
      <c r="C60" s="392"/>
      <c r="I60" s="109"/>
      <c r="J60" s="109">
        <v>1200000</v>
      </c>
      <c r="L60" s="109">
        <v>2000000</v>
      </c>
      <c r="M60" s="183">
        <f>SUM(M57:M59)</f>
        <v>23802366.780000001</v>
      </c>
    </row>
    <row r="61" spans="1:13">
      <c r="A61" s="46" t="s">
        <v>281</v>
      </c>
      <c r="B61" s="392">
        <v>1400000</v>
      </c>
      <c r="C61" s="392"/>
      <c r="I61" s="109"/>
      <c r="J61" s="109">
        <v>3500000</v>
      </c>
      <c r="L61" s="109">
        <v>150000</v>
      </c>
      <c r="M61" s="183">
        <v>24092226.780000001</v>
      </c>
    </row>
    <row r="62" spans="1:13">
      <c r="A62" s="46" t="s">
        <v>258</v>
      </c>
      <c r="B62" s="393">
        <v>1975000</v>
      </c>
      <c r="C62" s="393"/>
      <c r="I62" s="109">
        <v>100000</v>
      </c>
      <c r="J62" s="116">
        <f>SUM(J58:J61)</f>
        <v>13350000</v>
      </c>
      <c r="L62" s="109">
        <v>4590281.96</v>
      </c>
      <c r="M62" s="183">
        <f>M61-M60</f>
        <v>289860</v>
      </c>
    </row>
    <row r="63" spans="1:13">
      <c r="A63" s="46" t="s">
        <v>283</v>
      </c>
      <c r="B63" s="387">
        <v>1214184.3500000001</v>
      </c>
      <c r="C63" s="387"/>
      <c r="I63" s="109">
        <v>4589687.1100000003</v>
      </c>
      <c r="J63" s="109">
        <v>16829861.079999998</v>
      </c>
      <c r="L63" s="109">
        <f>SUM(L57:L62)</f>
        <v>9670281.9600000009</v>
      </c>
      <c r="M63" s="46"/>
    </row>
    <row r="64" spans="1:13">
      <c r="B64" s="388">
        <f>SUM(B60:C63)</f>
        <v>6182884.3499999996</v>
      </c>
      <c r="C64" s="388"/>
      <c r="I64" s="116">
        <f>SUM(I58:I63)</f>
        <v>4689687.1100000003</v>
      </c>
      <c r="J64" s="109">
        <f>J62-J63</f>
        <v>-3479861.0799999982</v>
      </c>
      <c r="M64" s="109">
        <v>24416573.030000001</v>
      </c>
    </row>
    <row r="65" spans="1:13">
      <c r="I65" s="109">
        <v>7212797.6100000003</v>
      </c>
      <c r="M65" s="109">
        <v>24708913.030000001</v>
      </c>
    </row>
    <row r="66" spans="1:13">
      <c r="I66" s="109">
        <f>I64-I65</f>
        <v>-2523110.5</v>
      </c>
      <c r="M66" s="109">
        <f>M64-M65</f>
        <v>-292340</v>
      </c>
    </row>
    <row r="67" spans="1:13">
      <c r="I67" s="109"/>
      <c r="M67" s="109">
        <v>289860</v>
      </c>
    </row>
    <row r="68" spans="1:13">
      <c r="I68" s="109"/>
      <c r="J68" s="109">
        <v>25346381.800000001</v>
      </c>
      <c r="M68" s="173">
        <f>SUM(M66:M67)</f>
        <v>-2480</v>
      </c>
    </row>
    <row r="69" spans="1:13">
      <c r="I69" s="109"/>
      <c r="J69" s="109">
        <v>24042658.690000001</v>
      </c>
      <c r="M69" s="46"/>
    </row>
    <row r="70" spans="1:13">
      <c r="I70" s="109"/>
      <c r="J70" s="109">
        <f>J68-J69</f>
        <v>1303723.1099999994</v>
      </c>
      <c r="L70" s="109">
        <v>400000</v>
      </c>
      <c r="M70" s="46"/>
    </row>
    <row r="71" spans="1:13">
      <c r="I71" s="109"/>
      <c r="L71" s="109">
        <v>1000000</v>
      </c>
      <c r="M71" s="109">
        <v>25279.7</v>
      </c>
    </row>
    <row r="72" spans="1:13">
      <c r="I72" s="109"/>
      <c r="M72" s="109">
        <v>27759.7</v>
      </c>
    </row>
    <row r="73" spans="1:13">
      <c r="H73" s="109"/>
      <c r="I73" s="109"/>
      <c r="M73" s="173">
        <f>M71-M72</f>
        <v>-2480</v>
      </c>
    </row>
    <row r="74" spans="1:13">
      <c r="H74" s="109">
        <v>4455551.57</v>
      </c>
      <c r="I74" s="109"/>
      <c r="J74" s="109">
        <v>17496381.800000001</v>
      </c>
      <c r="M74" s="46"/>
    </row>
    <row r="75" spans="1:13">
      <c r="H75" s="109">
        <v>5760963.6399999997</v>
      </c>
      <c r="I75" s="109"/>
      <c r="J75" s="109">
        <v>7850000</v>
      </c>
      <c r="M75" s="46"/>
    </row>
    <row r="76" spans="1:13">
      <c r="H76" s="109">
        <f>SUM(H74:H75)</f>
        <v>10216515.210000001</v>
      </c>
      <c r="I76" s="109"/>
      <c r="J76" s="109">
        <f>SUM(J74:J75)</f>
        <v>25346381.800000001</v>
      </c>
      <c r="M76" s="46"/>
    </row>
    <row r="77" spans="1:13" s="109" customFormat="1">
      <c r="A77" s="46"/>
      <c r="B77" s="46"/>
      <c r="C77" s="46"/>
      <c r="D77" s="46"/>
      <c r="E77" s="46"/>
      <c r="F77" s="46"/>
      <c r="G77" s="46"/>
    </row>
    <row r="78" spans="1:13" s="109" customFormat="1">
      <c r="A78" s="46"/>
      <c r="B78" s="46"/>
      <c r="C78" s="46"/>
      <c r="D78" s="46"/>
      <c r="E78" s="46"/>
      <c r="F78" s="46"/>
      <c r="G78" s="46"/>
    </row>
    <row r="79" spans="1:13" s="109" customFormat="1">
      <c r="A79" s="46"/>
      <c r="B79" s="46"/>
      <c r="C79" s="46"/>
      <c r="D79" s="46"/>
      <c r="E79" s="46"/>
      <c r="F79" s="46"/>
      <c r="G79" s="46"/>
    </row>
    <row r="80" spans="1:13" s="109" customFormat="1">
      <c r="A80" s="46"/>
      <c r="B80" s="46"/>
      <c r="C80" s="46"/>
      <c r="D80" s="46"/>
      <c r="E80" s="46"/>
      <c r="F80" s="46"/>
      <c r="G80" s="46"/>
    </row>
    <row r="81" spans="1:11" s="109" customFormat="1">
      <c r="A81" s="46"/>
      <c r="B81" s="46"/>
      <c r="C81" s="46"/>
      <c r="D81" s="46"/>
      <c r="E81" s="46"/>
      <c r="F81" s="46"/>
      <c r="G81" s="46"/>
    </row>
    <row r="82" spans="1:11" s="109" customFormat="1">
      <c r="A82" s="46"/>
      <c r="B82" s="46"/>
      <c r="C82" s="46"/>
      <c r="D82" s="46"/>
      <c r="E82" s="46"/>
      <c r="F82" s="46"/>
      <c r="G82" s="46"/>
    </row>
    <row r="83" spans="1:11" s="109" customFormat="1">
      <c r="A83" s="46"/>
      <c r="B83" s="46"/>
      <c r="C83" s="46"/>
      <c r="D83" s="46"/>
      <c r="E83" s="46"/>
      <c r="F83" s="46"/>
      <c r="G83" s="46"/>
      <c r="H83" s="46"/>
    </row>
    <row r="84" spans="1:11" s="109" customFormat="1">
      <c r="A84" s="46"/>
      <c r="B84" s="46"/>
      <c r="C84" s="46"/>
      <c r="D84" s="46"/>
      <c r="E84" s="46"/>
      <c r="F84" s="46"/>
      <c r="G84" s="46"/>
      <c r="H84" s="46"/>
    </row>
    <row r="85" spans="1:11" s="109" customFormat="1">
      <c r="A85" s="46"/>
      <c r="B85" s="46"/>
      <c r="C85" s="46"/>
      <c r="D85" s="46"/>
      <c r="E85" s="46"/>
      <c r="F85" s="46"/>
      <c r="G85" s="46"/>
      <c r="H85" s="46"/>
    </row>
    <row r="86" spans="1:11" s="109" customFormat="1">
      <c r="A86" s="46"/>
      <c r="B86" s="46"/>
      <c r="C86" s="46"/>
      <c r="D86" s="46"/>
      <c r="E86" s="46"/>
      <c r="F86" s="46"/>
      <c r="G86" s="46"/>
      <c r="H86" s="46"/>
    </row>
    <row r="87" spans="1:11" s="109" customFormat="1">
      <c r="A87" s="46"/>
      <c r="B87" s="46"/>
      <c r="C87" s="46"/>
      <c r="D87" s="46"/>
      <c r="E87" s="46"/>
      <c r="F87" s="46"/>
      <c r="G87" s="46"/>
      <c r="H87" s="46"/>
      <c r="K87" s="46"/>
    </row>
    <row r="88" spans="1:11" s="109" customFormat="1">
      <c r="A88" s="46"/>
      <c r="B88" s="46"/>
      <c r="C88" s="46"/>
      <c r="D88" s="46"/>
      <c r="E88" s="46"/>
      <c r="F88" s="46"/>
      <c r="G88" s="46"/>
      <c r="H88" s="46"/>
      <c r="K88" s="46"/>
    </row>
    <row r="89" spans="1:11" s="109" customFormat="1">
      <c r="A89" s="46"/>
      <c r="B89" s="46"/>
      <c r="C89" s="46"/>
      <c r="D89" s="46"/>
      <c r="E89" s="46"/>
      <c r="F89" s="46"/>
      <c r="G89" s="46"/>
      <c r="H89" s="46"/>
      <c r="K89" s="46"/>
    </row>
    <row r="90" spans="1:11" s="109" customFormat="1">
      <c r="A90" s="46"/>
      <c r="B90" s="46"/>
      <c r="C90" s="46"/>
      <c r="D90" s="46"/>
      <c r="E90" s="46"/>
      <c r="F90" s="46"/>
      <c r="G90" s="46"/>
      <c r="H90" s="46"/>
      <c r="K90" s="46"/>
    </row>
    <row r="91" spans="1:11" s="109" customFormat="1">
      <c r="A91" s="46"/>
      <c r="B91" s="46"/>
      <c r="C91" s="46"/>
      <c r="D91" s="46"/>
      <c r="E91" s="46"/>
      <c r="F91" s="46"/>
      <c r="G91" s="46"/>
      <c r="H91" s="46"/>
      <c r="K91" s="46"/>
    </row>
    <row r="92" spans="1:11" s="109" customFormat="1">
      <c r="A92" s="46"/>
      <c r="B92" s="46"/>
      <c r="C92" s="46"/>
      <c r="D92" s="46"/>
      <c r="E92" s="46"/>
      <c r="F92" s="46"/>
      <c r="G92" s="46"/>
      <c r="H92" s="46"/>
      <c r="K92" s="46"/>
    </row>
    <row r="93" spans="1:11" s="109" customFormat="1">
      <c r="A93" s="46"/>
      <c r="B93" s="46"/>
      <c r="C93" s="46"/>
      <c r="D93" s="46"/>
      <c r="E93" s="46"/>
      <c r="F93" s="46"/>
      <c r="G93" s="46"/>
      <c r="H93" s="46"/>
      <c r="K93" s="46"/>
    </row>
    <row r="94" spans="1:11" s="109" customFormat="1">
      <c r="A94" s="46"/>
      <c r="B94" s="46"/>
      <c r="C94" s="46"/>
      <c r="D94" s="46"/>
      <c r="E94" s="46"/>
      <c r="F94" s="46"/>
      <c r="G94" s="46"/>
      <c r="H94" s="46"/>
      <c r="K94" s="46"/>
    </row>
    <row r="95" spans="1:11" s="109" customFormat="1">
      <c r="A95" s="46"/>
      <c r="B95" s="46"/>
      <c r="C95" s="46"/>
      <c r="D95" s="46"/>
      <c r="E95" s="46"/>
      <c r="F95" s="46"/>
      <c r="G95" s="46"/>
      <c r="H95" s="46"/>
      <c r="K95" s="46"/>
    </row>
    <row r="96" spans="1:11" s="109" customFormat="1">
      <c r="A96" s="46"/>
      <c r="B96" s="46"/>
      <c r="C96" s="46"/>
      <c r="D96" s="46"/>
      <c r="E96" s="46"/>
      <c r="F96" s="46"/>
      <c r="G96" s="46"/>
      <c r="H96" s="46"/>
      <c r="K96" s="46"/>
    </row>
    <row r="97" spans="1:11" s="109" customFormat="1">
      <c r="A97" s="46"/>
      <c r="B97" s="46"/>
      <c r="C97" s="46"/>
      <c r="D97" s="46"/>
      <c r="E97" s="46"/>
      <c r="F97" s="46"/>
      <c r="G97" s="46"/>
      <c r="H97" s="46"/>
      <c r="K97" s="46"/>
    </row>
    <row r="98" spans="1:11" s="109" customFormat="1">
      <c r="A98" s="46"/>
      <c r="B98" s="46"/>
      <c r="C98" s="46"/>
      <c r="D98" s="46"/>
      <c r="E98" s="46"/>
      <c r="F98" s="46"/>
      <c r="G98" s="46"/>
      <c r="H98" s="46"/>
      <c r="K98" s="46"/>
    </row>
    <row r="99" spans="1:11" s="109" customFormat="1">
      <c r="A99" s="46"/>
      <c r="B99" s="46"/>
      <c r="C99" s="46"/>
      <c r="D99" s="46"/>
      <c r="E99" s="46"/>
      <c r="F99" s="46"/>
      <c r="G99" s="46"/>
      <c r="H99" s="46"/>
      <c r="K99" s="46"/>
    </row>
  </sheetData>
  <mergeCells count="8">
    <mergeCell ref="B63:C63"/>
    <mergeCell ref="B64:C64"/>
    <mergeCell ref="A2:J2"/>
    <mergeCell ref="A3:J3"/>
    <mergeCell ref="A4:J4"/>
    <mergeCell ref="B60:C60"/>
    <mergeCell ref="B61:C61"/>
    <mergeCell ref="B62:C62"/>
  </mergeCells>
  <printOptions horizontalCentered="1"/>
  <pageMargins left="0.02" right="0.15" top="0.39" bottom="0.1" header="0.21" footer="0.1"/>
  <pageSetup scale="84" orientation="portrait" horizontalDpi="4294967294" verticalDpi="3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N99"/>
  <sheetViews>
    <sheetView topLeftCell="A4" workbookViewId="0">
      <selection activeCell="F42" sqref="F42"/>
    </sheetView>
  </sheetViews>
  <sheetFormatPr defaultRowHeight="12.75"/>
  <cols>
    <col min="1" max="1" width="6" style="46" customWidth="1"/>
    <col min="2" max="3" width="9.140625" style="46"/>
    <col min="4" max="4" width="16.5703125" style="46" customWidth="1"/>
    <col min="5" max="6" width="13.85546875" style="46" customWidth="1"/>
    <col min="7" max="7" width="10" style="46" customWidth="1"/>
    <col min="8" max="8" width="11.5703125" style="46" customWidth="1"/>
    <col min="9" max="9" width="11.42578125" style="46" customWidth="1"/>
    <col min="10" max="10" width="13.28515625" style="109" customWidth="1"/>
    <col min="11" max="11" width="15.7109375" style="46" customWidth="1"/>
    <col min="12" max="12" width="16.85546875" style="109" customWidth="1"/>
    <col min="13" max="13" width="17" style="109" customWidth="1"/>
    <col min="14" max="14" width="17" style="46" customWidth="1"/>
    <col min="15" max="16384" width="9.140625" style="46"/>
  </cols>
  <sheetData>
    <row r="1" spans="1:13">
      <c r="A1" s="47"/>
      <c r="B1" s="48"/>
      <c r="C1" s="48"/>
      <c r="D1" s="48"/>
      <c r="E1" s="48"/>
      <c r="F1" s="48"/>
      <c r="G1" s="48"/>
      <c r="H1" s="48"/>
      <c r="I1" s="48"/>
      <c r="J1" s="169" t="s">
        <v>81</v>
      </c>
    </row>
    <row r="2" spans="1:13">
      <c r="A2" s="389" t="s">
        <v>80</v>
      </c>
      <c r="B2" s="390"/>
      <c r="C2" s="390"/>
      <c r="D2" s="390"/>
      <c r="E2" s="390"/>
      <c r="F2" s="390"/>
      <c r="G2" s="390"/>
      <c r="H2" s="390"/>
      <c r="I2" s="390"/>
      <c r="J2" s="391"/>
    </row>
    <row r="3" spans="1:13">
      <c r="A3" s="389" t="s">
        <v>288</v>
      </c>
      <c r="B3" s="390"/>
      <c r="C3" s="390"/>
      <c r="D3" s="390"/>
      <c r="E3" s="390"/>
      <c r="F3" s="390"/>
      <c r="G3" s="390"/>
      <c r="H3" s="390"/>
      <c r="I3" s="390"/>
      <c r="J3" s="391"/>
    </row>
    <row r="4" spans="1:13">
      <c r="A4" s="389"/>
      <c r="B4" s="390"/>
      <c r="C4" s="390"/>
      <c r="D4" s="390"/>
      <c r="E4" s="390"/>
      <c r="F4" s="390"/>
      <c r="G4" s="390"/>
      <c r="H4" s="390"/>
      <c r="I4" s="390"/>
      <c r="J4" s="391"/>
    </row>
    <row r="5" spans="1:13">
      <c r="A5" s="54" t="s">
        <v>77</v>
      </c>
      <c r="B5" s="282"/>
      <c r="C5" s="282"/>
      <c r="D5" s="282"/>
      <c r="E5" s="282"/>
      <c r="F5" s="282"/>
      <c r="G5" s="282"/>
      <c r="H5" s="282"/>
      <c r="I5" s="282"/>
      <c r="J5" s="170"/>
    </row>
    <row r="6" spans="1:13">
      <c r="A6" s="54" t="s">
        <v>76</v>
      </c>
      <c r="B6" s="55"/>
      <c r="C6" s="55"/>
      <c r="D6" s="55"/>
      <c r="E6" s="55"/>
      <c r="F6" s="55"/>
      <c r="G6" s="55"/>
      <c r="H6" s="55" t="s">
        <v>278</v>
      </c>
      <c r="I6" s="55"/>
      <c r="J6" s="171"/>
      <c r="K6" s="46" t="s">
        <v>210</v>
      </c>
    </row>
    <row r="7" spans="1:13">
      <c r="A7" s="47"/>
      <c r="B7" s="48"/>
      <c r="C7" s="48"/>
      <c r="D7" s="49"/>
      <c r="E7" s="88" t="s">
        <v>8</v>
      </c>
      <c r="F7" s="50"/>
      <c r="G7" s="52"/>
      <c r="H7" s="52"/>
      <c r="I7" s="53"/>
      <c r="J7" s="110"/>
    </row>
    <row r="8" spans="1:13">
      <c r="A8" s="54"/>
      <c r="B8" s="55"/>
      <c r="C8" s="55"/>
      <c r="D8" s="56"/>
      <c r="E8" s="281" t="s">
        <v>9</v>
      </c>
      <c r="F8" s="53"/>
      <c r="G8" s="59"/>
      <c r="H8" s="59"/>
      <c r="I8" s="58"/>
      <c r="J8" s="111"/>
    </row>
    <row r="9" spans="1:13">
      <c r="A9" s="61" t="s">
        <v>68</v>
      </c>
      <c r="B9" s="55"/>
      <c r="C9" s="55"/>
      <c r="D9" s="56"/>
      <c r="E9" s="281" t="s">
        <v>10</v>
      </c>
      <c r="F9" s="60" t="s">
        <v>12</v>
      </c>
      <c r="G9" s="60" t="s">
        <v>14</v>
      </c>
      <c r="H9" s="60" t="s">
        <v>20</v>
      </c>
      <c r="I9" s="60" t="s">
        <v>22</v>
      </c>
      <c r="J9" s="112" t="s">
        <v>24</v>
      </c>
    </row>
    <row r="10" spans="1:13">
      <c r="A10" s="54"/>
      <c r="B10" s="55"/>
      <c r="C10" s="55"/>
      <c r="D10" s="56"/>
      <c r="E10" s="281" t="s">
        <v>11</v>
      </c>
      <c r="F10" s="60" t="s">
        <v>13</v>
      </c>
      <c r="G10" s="59"/>
      <c r="H10" s="60" t="s">
        <v>21</v>
      </c>
      <c r="I10" s="60" t="s">
        <v>23</v>
      </c>
      <c r="J10" s="111"/>
    </row>
    <row r="11" spans="1:13">
      <c r="A11" s="62"/>
      <c r="B11" s="63"/>
      <c r="C11" s="63"/>
      <c r="D11" s="64"/>
      <c r="E11" s="65">
        <v>0.3</v>
      </c>
      <c r="F11" s="66">
        <v>0.7</v>
      </c>
      <c r="G11" s="59"/>
      <c r="H11" s="67"/>
      <c r="I11" s="68"/>
      <c r="J11" s="113"/>
    </row>
    <row r="12" spans="1:13" ht="18" customHeight="1">
      <c r="A12" s="70" t="s">
        <v>0</v>
      </c>
      <c r="B12" s="71"/>
      <c r="C12" s="71"/>
      <c r="D12" s="72"/>
      <c r="E12" s="51"/>
      <c r="F12" s="51"/>
      <c r="G12" s="51"/>
      <c r="H12" s="51"/>
      <c r="I12" s="51"/>
      <c r="J12" s="110"/>
      <c r="L12" s="283" t="s">
        <v>90</v>
      </c>
      <c r="M12" s="283" t="s">
        <v>89</v>
      </c>
    </row>
    <row r="13" spans="1:13" ht="18" customHeight="1">
      <c r="A13" s="73" t="s">
        <v>1</v>
      </c>
      <c r="B13" s="72"/>
      <c r="C13" s="72"/>
      <c r="D13" s="72"/>
      <c r="E13" s="94">
        <f>M19*0.3</f>
        <v>1197365.19765</v>
      </c>
      <c r="F13" s="94">
        <f>M19*0.7</f>
        <v>2793852.1278499998</v>
      </c>
      <c r="G13" s="94"/>
      <c r="H13" s="94"/>
      <c r="I13" s="94"/>
      <c r="J13" s="114">
        <f>SUM(E13:I13)</f>
        <v>3991217.3254999998</v>
      </c>
      <c r="K13" s="175" t="e">
        <f>SUM(J13+#REF!+#REF!+#REF!+#REF!+#REF!+#REF!+#REF!+#REF!+#REF!+#REF!+#REF!)</f>
        <v>#REF!</v>
      </c>
      <c r="L13" s="109">
        <v>21367644.399999999</v>
      </c>
      <c r="M13" s="109">
        <v>4171566.4</v>
      </c>
    </row>
    <row r="14" spans="1:13" ht="18" customHeight="1">
      <c r="A14" s="73" t="s">
        <v>2</v>
      </c>
      <c r="B14" s="72"/>
      <c r="C14" s="72"/>
      <c r="D14" s="72"/>
      <c r="E14" s="102"/>
      <c r="F14" s="102"/>
      <c r="G14" s="102"/>
      <c r="H14" s="102"/>
      <c r="I14" s="102"/>
      <c r="J14" s="110"/>
      <c r="K14" s="117" t="s">
        <v>88</v>
      </c>
      <c r="L14" s="109">
        <v>9400000</v>
      </c>
      <c r="M14" s="109">
        <v>5637398.9699999997</v>
      </c>
    </row>
    <row r="15" spans="1:13" ht="18" customHeight="1">
      <c r="A15" s="75" t="s">
        <v>3</v>
      </c>
      <c r="B15" s="48"/>
      <c r="C15" s="48"/>
      <c r="D15" s="48"/>
      <c r="E15" s="102"/>
      <c r="F15" s="102"/>
      <c r="G15" s="102"/>
      <c r="H15" s="102"/>
      <c r="I15" s="102"/>
      <c r="J15" s="110"/>
      <c r="L15" s="116">
        <f>SUM(L13:L14)</f>
        <v>30767644.399999999</v>
      </c>
      <c r="M15" s="116">
        <f>SUM(M13:M14)</f>
        <v>9808965.3699999992</v>
      </c>
    </row>
    <row r="16" spans="1:13" ht="18" customHeight="1">
      <c r="A16" s="76" t="s">
        <v>78</v>
      </c>
      <c r="B16" s="55"/>
      <c r="C16" s="55"/>
      <c r="D16" s="55"/>
      <c r="E16" s="103"/>
      <c r="F16" s="103"/>
      <c r="G16" s="103"/>
      <c r="H16" s="103"/>
      <c r="I16" s="103"/>
      <c r="J16" s="113"/>
      <c r="K16" s="46">
        <v>11930281.960000001</v>
      </c>
    </row>
    <row r="17" spans="1:14" ht="18" customHeight="1">
      <c r="A17" s="77" t="s">
        <v>79</v>
      </c>
      <c r="B17" s="72"/>
      <c r="C17" s="72"/>
      <c r="D17" s="72"/>
      <c r="E17" s="94"/>
      <c r="F17" s="94"/>
      <c r="G17" s="94"/>
      <c r="H17" s="94"/>
      <c r="I17" s="94"/>
      <c r="J17" s="113">
        <f>SUM(E17:I17)</f>
        <v>0</v>
      </c>
      <c r="K17" s="173">
        <f>K16-J16</f>
        <v>11930281.960000001</v>
      </c>
      <c r="M17" s="109">
        <v>25936573.030000001</v>
      </c>
    </row>
    <row r="18" spans="1:14" ht="18" customHeight="1">
      <c r="A18" s="70" t="s">
        <v>7</v>
      </c>
      <c r="B18" s="72"/>
      <c r="C18" s="72"/>
      <c r="D18" s="72"/>
      <c r="E18" s="119">
        <f>SUM(E13:E17)</f>
        <v>1197365.19765</v>
      </c>
      <c r="F18" s="119">
        <f t="shared" ref="F18:J18" si="0">SUM(F13:F17)</f>
        <v>2793852.1278499998</v>
      </c>
      <c r="G18" s="119">
        <f t="shared" si="0"/>
        <v>0</v>
      </c>
      <c r="H18" s="119">
        <f t="shared" si="0"/>
        <v>0</v>
      </c>
      <c r="I18" s="119">
        <f t="shared" si="0"/>
        <v>0</v>
      </c>
      <c r="J18" s="119">
        <f t="shared" si="0"/>
        <v>3991217.3254999998</v>
      </c>
      <c r="K18" s="166">
        <f t="shared" ref="K18:K45" si="1">SUM(E18:I18)</f>
        <v>3991217.3254999998</v>
      </c>
      <c r="L18" s="193" t="s">
        <v>171</v>
      </c>
      <c r="M18" s="192">
        <f>214311485.51-134487139</f>
        <v>79824346.50999999</v>
      </c>
    </row>
    <row r="19" spans="1:14" s="109" customFormat="1" ht="18" customHeight="1">
      <c r="A19" s="74" t="s">
        <v>99</v>
      </c>
      <c r="B19" s="72" t="s">
        <v>100</v>
      </c>
      <c r="C19" s="72"/>
      <c r="D19" s="72"/>
      <c r="E19" s="94">
        <f>SUM('DRRM Funds JAN''2016'!E46)</f>
        <v>23711405.225000001</v>
      </c>
      <c r="F19" s="94">
        <f>SUM('DRRM Funds JAN''2016'!F46)</f>
        <v>23467353.125000004</v>
      </c>
      <c r="G19" s="94">
        <f>SUM('DRRM Funds JAN''2016'!G46)</f>
        <v>0</v>
      </c>
      <c r="H19" s="94">
        <f>SUM('DRRM Funds JAN''2016'!H46)</f>
        <v>0</v>
      </c>
      <c r="I19" s="94">
        <f>SUM('DRRM Funds JAN''2016'!I46)</f>
        <v>0</v>
      </c>
      <c r="J19" s="94">
        <f>SUM('DRRM Funds JAN''2016'!J46)</f>
        <v>47178758.350000001</v>
      </c>
      <c r="K19" s="166">
        <f t="shared" si="1"/>
        <v>47178758.350000009</v>
      </c>
      <c r="L19" s="194">
        <v>0.05</v>
      </c>
      <c r="M19" s="269">
        <f>M18*0.05</f>
        <v>3991217.3254999998</v>
      </c>
    </row>
    <row r="20" spans="1:14" s="109" customFormat="1" ht="18" customHeight="1">
      <c r="A20" s="70" t="s">
        <v>101</v>
      </c>
      <c r="B20" s="122"/>
      <c r="C20" s="72"/>
      <c r="D20" s="72"/>
      <c r="E20" s="119">
        <f>SUM(E18:E19)</f>
        <v>24908770.422650002</v>
      </c>
      <c r="F20" s="119">
        <f t="shared" ref="F20:J20" si="2">SUM(F18:F19)</f>
        <v>26261205.252850004</v>
      </c>
      <c r="G20" s="119">
        <f t="shared" si="2"/>
        <v>0</v>
      </c>
      <c r="H20" s="119">
        <f t="shared" si="2"/>
        <v>0</v>
      </c>
      <c r="I20" s="119">
        <f t="shared" si="2"/>
        <v>0</v>
      </c>
      <c r="J20" s="119">
        <f t="shared" si="2"/>
        <v>51169975.675499998</v>
      </c>
      <c r="K20" s="166">
        <f t="shared" si="1"/>
        <v>51169975.675500005</v>
      </c>
    </row>
    <row r="21" spans="1:14" ht="18" customHeight="1">
      <c r="A21" s="70" t="s">
        <v>15</v>
      </c>
      <c r="B21" s="72"/>
      <c r="C21" s="72"/>
      <c r="D21" s="72"/>
      <c r="E21" s="94"/>
      <c r="F21" s="94"/>
      <c r="G21" s="94"/>
      <c r="H21" s="94"/>
      <c r="I21" s="94"/>
      <c r="J21" s="114"/>
      <c r="K21" s="166">
        <f t="shared" si="1"/>
        <v>0</v>
      </c>
      <c r="M21" s="109">
        <v>26972032.48</v>
      </c>
    </row>
    <row r="22" spans="1:14" ht="18" customHeight="1">
      <c r="A22" s="77" t="s">
        <v>206</v>
      </c>
      <c r="B22" s="263"/>
      <c r="C22" s="263"/>
      <c r="D22" s="263"/>
      <c r="E22" s="94"/>
      <c r="F22" s="94"/>
      <c r="G22" s="94"/>
      <c r="H22" s="94"/>
      <c r="I22" s="94"/>
      <c r="J22" s="114">
        <f>SUM(E22:I22)</f>
        <v>0</v>
      </c>
      <c r="K22" s="166"/>
    </row>
    <row r="23" spans="1:14" ht="18" customHeight="1">
      <c r="A23" s="77" t="s">
        <v>251</v>
      </c>
      <c r="B23" s="263"/>
      <c r="C23" s="263"/>
      <c r="D23" s="263"/>
      <c r="E23" s="94"/>
      <c r="F23" s="94"/>
      <c r="G23" s="94"/>
      <c r="H23" s="94"/>
      <c r="I23" s="94"/>
      <c r="J23" s="114">
        <f t="shared" ref="J23:J42" si="3">SUM(E23:I23)</f>
        <v>0</v>
      </c>
      <c r="K23" s="166">
        <f t="shared" si="1"/>
        <v>0</v>
      </c>
      <c r="L23" s="176">
        <f>518731460.56*0.05</f>
        <v>25936573.028000001</v>
      </c>
      <c r="M23" s="109">
        <v>125607.13</v>
      </c>
    </row>
    <row r="24" spans="1:14" ht="18" customHeight="1">
      <c r="A24" s="290" t="s">
        <v>229</v>
      </c>
      <c r="B24" s="291"/>
      <c r="C24" s="291"/>
      <c r="D24" s="291"/>
      <c r="E24" s="292"/>
      <c r="F24" s="292">
        <v>89985</v>
      </c>
      <c r="G24" s="292"/>
      <c r="H24" s="292"/>
      <c r="I24" s="292"/>
      <c r="J24" s="114">
        <f t="shared" si="3"/>
        <v>89985</v>
      </c>
      <c r="K24" s="166"/>
      <c r="L24" s="228"/>
    </row>
    <row r="25" spans="1:14" ht="18" customHeight="1">
      <c r="A25" s="290" t="s">
        <v>252</v>
      </c>
      <c r="B25" s="291"/>
      <c r="C25" s="291"/>
      <c r="D25" s="291"/>
      <c r="E25" s="292"/>
      <c r="F25" s="292">
        <v>198886</v>
      </c>
      <c r="G25" s="292"/>
      <c r="H25" s="292"/>
      <c r="I25" s="292"/>
      <c r="J25" s="114">
        <f t="shared" si="3"/>
        <v>198886</v>
      </c>
      <c r="K25" s="166">
        <f t="shared" si="1"/>
        <v>198886</v>
      </c>
      <c r="M25" s="232" t="s">
        <v>236</v>
      </c>
    </row>
    <row r="26" spans="1:14" ht="18" customHeight="1">
      <c r="A26" s="290" t="s">
        <v>276</v>
      </c>
      <c r="B26" s="291"/>
      <c r="C26" s="291"/>
      <c r="D26" s="291"/>
      <c r="E26" s="292"/>
      <c r="F26" s="292">
        <v>242974.78</v>
      </c>
      <c r="G26" s="292"/>
      <c r="H26" s="292"/>
      <c r="I26" s="292"/>
      <c r="J26" s="114">
        <f t="shared" si="3"/>
        <v>242974.78</v>
      </c>
      <c r="K26" s="166">
        <f t="shared" si="1"/>
        <v>242974.78</v>
      </c>
      <c r="M26" s="229">
        <v>275607.13</v>
      </c>
      <c r="N26" s="46" t="s">
        <v>230</v>
      </c>
    </row>
    <row r="27" spans="1:14" ht="18" customHeight="1">
      <c r="A27" s="293" t="s">
        <v>275</v>
      </c>
      <c r="B27" s="291"/>
      <c r="C27" s="291"/>
      <c r="D27" s="291"/>
      <c r="E27" s="292"/>
      <c r="F27" s="292">
        <v>132800</v>
      </c>
      <c r="G27" s="292"/>
      <c r="H27" s="292"/>
      <c r="I27" s="292"/>
      <c r="J27" s="114">
        <f t="shared" si="3"/>
        <v>132800</v>
      </c>
      <c r="K27" s="166">
        <f t="shared" si="1"/>
        <v>132800</v>
      </c>
      <c r="M27" s="229">
        <v>695000</v>
      </c>
      <c r="N27" s="46" t="s">
        <v>232</v>
      </c>
    </row>
    <row r="28" spans="1:14" ht="18" customHeight="1">
      <c r="A28" s="290" t="s">
        <v>274</v>
      </c>
      <c r="B28" s="291"/>
      <c r="C28" s="291"/>
      <c r="D28" s="291"/>
      <c r="E28" s="292"/>
      <c r="F28" s="292"/>
      <c r="G28" s="292"/>
      <c r="H28" s="292"/>
      <c r="I28" s="292"/>
      <c r="J28" s="114">
        <f t="shared" si="3"/>
        <v>0</v>
      </c>
      <c r="K28" s="166">
        <f t="shared" si="1"/>
        <v>0</v>
      </c>
      <c r="M28" s="229">
        <v>1470000</v>
      </c>
      <c r="N28" s="46" t="s">
        <v>233</v>
      </c>
    </row>
    <row r="29" spans="1:14" ht="18" customHeight="1">
      <c r="A29" s="290" t="s">
        <v>227</v>
      </c>
      <c r="B29" s="291"/>
      <c r="C29" s="291"/>
      <c r="D29" s="291"/>
      <c r="E29" s="292"/>
      <c r="F29" s="292"/>
      <c r="G29" s="292"/>
      <c r="H29" s="292"/>
      <c r="I29" s="292"/>
      <c r="J29" s="114">
        <f t="shared" si="3"/>
        <v>0</v>
      </c>
      <c r="K29" s="166">
        <f t="shared" si="1"/>
        <v>0</v>
      </c>
      <c r="L29" s="283"/>
      <c r="M29" s="229">
        <v>3071228.76</v>
      </c>
      <c r="N29" s="46" t="s">
        <v>231</v>
      </c>
    </row>
    <row r="30" spans="1:14" ht="18" customHeight="1">
      <c r="A30" s="290" t="s">
        <v>273</v>
      </c>
      <c r="B30" s="291"/>
      <c r="C30" s="291"/>
      <c r="D30" s="291"/>
      <c r="E30" s="292"/>
      <c r="F30" s="292"/>
      <c r="G30" s="292"/>
      <c r="H30" s="292"/>
      <c r="I30" s="292"/>
      <c r="J30" s="114">
        <f t="shared" si="3"/>
        <v>0</v>
      </c>
      <c r="K30" s="166"/>
      <c r="L30" s="283"/>
      <c r="M30" s="229">
        <v>5009130</v>
      </c>
      <c r="N30" s="46" t="s">
        <v>234</v>
      </c>
    </row>
    <row r="31" spans="1:14" ht="18" customHeight="1">
      <c r="A31" s="290" t="s">
        <v>213</v>
      </c>
      <c r="B31" s="291"/>
      <c r="C31" s="291"/>
      <c r="D31" s="291"/>
      <c r="E31" s="292"/>
      <c r="F31" s="292"/>
      <c r="G31" s="292"/>
      <c r="H31" s="292"/>
      <c r="I31" s="292"/>
      <c r="J31" s="114">
        <f t="shared" si="3"/>
        <v>0</v>
      </c>
      <c r="K31" s="166"/>
      <c r="L31" s="283"/>
      <c r="M31" s="230">
        <v>1900100</v>
      </c>
      <c r="N31" s="46" t="s">
        <v>235</v>
      </c>
    </row>
    <row r="32" spans="1:14" ht="18" customHeight="1">
      <c r="A32" s="290" t="s">
        <v>250</v>
      </c>
      <c r="B32" s="291"/>
      <c r="C32" s="291"/>
      <c r="D32" s="291"/>
      <c r="E32" s="292"/>
      <c r="F32" s="292">
        <v>98865</v>
      </c>
      <c r="G32" s="292"/>
      <c r="H32" s="292"/>
      <c r="I32" s="292"/>
      <c r="J32" s="114">
        <f t="shared" si="3"/>
        <v>98865</v>
      </c>
      <c r="K32" s="166"/>
      <c r="L32" s="283"/>
      <c r="M32" s="289">
        <f>SUM(M26:M31)</f>
        <v>12421065.890000001</v>
      </c>
    </row>
    <row r="33" spans="1:13" ht="18" customHeight="1">
      <c r="A33" s="290" t="s">
        <v>214</v>
      </c>
      <c r="B33" s="291"/>
      <c r="C33" s="291"/>
      <c r="D33" s="291"/>
      <c r="E33" s="292"/>
      <c r="F33" s="292">
        <v>118650</v>
      </c>
      <c r="G33" s="292"/>
      <c r="H33" s="292"/>
      <c r="I33" s="292"/>
      <c r="J33" s="114">
        <f t="shared" si="3"/>
        <v>118650</v>
      </c>
      <c r="K33" s="227"/>
      <c r="L33" s="283"/>
    </row>
    <row r="34" spans="1:13" ht="18" customHeight="1">
      <c r="A34" s="290" t="s">
        <v>249</v>
      </c>
      <c r="B34" s="291"/>
      <c r="C34" s="291"/>
      <c r="D34" s="291"/>
      <c r="E34" s="292"/>
      <c r="F34" s="292"/>
      <c r="G34" s="292"/>
      <c r="H34" s="292"/>
      <c r="I34" s="292"/>
      <c r="J34" s="114">
        <f t="shared" si="3"/>
        <v>0</v>
      </c>
      <c r="K34" s="265"/>
      <c r="L34" s="283"/>
    </row>
    <row r="35" spans="1:13" ht="18" customHeight="1">
      <c r="A35" s="290" t="s">
        <v>222</v>
      </c>
      <c r="B35" s="291"/>
      <c r="C35" s="291"/>
      <c r="D35" s="291"/>
      <c r="E35" s="292"/>
      <c r="F35" s="292">
        <v>537000</v>
      </c>
      <c r="G35" s="292"/>
      <c r="H35" s="292"/>
      <c r="I35" s="292"/>
      <c r="J35" s="114">
        <f t="shared" si="3"/>
        <v>537000</v>
      </c>
      <c r="K35" s="266">
        <f t="shared" si="1"/>
        <v>537000</v>
      </c>
      <c r="L35" s="109">
        <f>SUM(F29:F35)</f>
        <v>754515</v>
      </c>
    </row>
    <row r="36" spans="1:13" ht="18" customHeight="1">
      <c r="A36" s="290" t="s">
        <v>223</v>
      </c>
      <c r="B36" s="291"/>
      <c r="C36" s="291"/>
      <c r="D36" s="291"/>
      <c r="E36" s="292"/>
      <c r="F36" s="292"/>
      <c r="G36" s="292"/>
      <c r="H36" s="292"/>
      <c r="I36" s="292"/>
      <c r="J36" s="114">
        <f t="shared" si="3"/>
        <v>0</v>
      </c>
      <c r="K36" s="166">
        <f t="shared" si="1"/>
        <v>0</v>
      </c>
      <c r="L36" s="109">
        <v>147060</v>
      </c>
    </row>
    <row r="37" spans="1:13" ht="18" customHeight="1">
      <c r="A37" s="290" t="s">
        <v>168</v>
      </c>
      <c r="B37" s="291"/>
      <c r="C37" s="291"/>
      <c r="D37" s="291"/>
      <c r="E37" s="292"/>
      <c r="F37" s="292"/>
      <c r="G37" s="292"/>
      <c r="H37" s="292"/>
      <c r="I37" s="292"/>
      <c r="J37" s="114">
        <f t="shared" si="3"/>
        <v>0</v>
      </c>
      <c r="K37" s="166">
        <f t="shared" si="1"/>
        <v>0</v>
      </c>
    </row>
    <row r="38" spans="1:13" ht="18" customHeight="1">
      <c r="A38" s="290" t="s">
        <v>208</v>
      </c>
      <c r="B38" s="291"/>
      <c r="C38" s="291"/>
      <c r="D38" s="291"/>
      <c r="E38" s="292"/>
      <c r="F38" s="292"/>
      <c r="G38" s="292"/>
      <c r="H38" s="292"/>
      <c r="I38" s="292"/>
      <c r="J38" s="114">
        <f t="shared" si="3"/>
        <v>0</v>
      </c>
      <c r="K38" s="166">
        <f t="shared" si="1"/>
        <v>0</v>
      </c>
      <c r="L38" s="109">
        <v>1555500</v>
      </c>
    </row>
    <row r="39" spans="1:13" ht="18" customHeight="1">
      <c r="A39" s="290" t="s">
        <v>207</v>
      </c>
      <c r="B39" s="291"/>
      <c r="C39" s="291"/>
      <c r="D39" s="291"/>
      <c r="E39" s="292"/>
      <c r="F39" s="292">
        <v>59032</v>
      </c>
      <c r="G39" s="292"/>
      <c r="H39" s="292"/>
      <c r="I39" s="292"/>
      <c r="J39" s="114">
        <f t="shared" si="3"/>
        <v>59032</v>
      </c>
      <c r="K39" s="166"/>
    </row>
    <row r="40" spans="1:13" ht="18" customHeight="1">
      <c r="A40" s="83" t="s">
        <v>94</v>
      </c>
      <c r="B40" s="263"/>
      <c r="C40" s="263"/>
      <c r="D40" s="263"/>
      <c r="E40" s="94"/>
      <c r="F40" s="94"/>
      <c r="G40" s="94"/>
      <c r="H40" s="94"/>
      <c r="I40" s="94"/>
      <c r="J40" s="114">
        <f t="shared" si="3"/>
        <v>0</v>
      </c>
      <c r="K40" s="166">
        <f t="shared" si="1"/>
        <v>0</v>
      </c>
      <c r="L40" s="109">
        <v>177000</v>
      </c>
    </row>
    <row r="41" spans="1:13" ht="18" customHeight="1">
      <c r="A41" s="83" t="s">
        <v>95</v>
      </c>
      <c r="B41" s="263"/>
      <c r="C41" s="263"/>
      <c r="D41" s="263"/>
      <c r="E41" s="94"/>
      <c r="F41" s="94"/>
      <c r="G41" s="94"/>
      <c r="H41" s="94"/>
      <c r="I41" s="94"/>
      <c r="J41" s="114">
        <f t="shared" si="3"/>
        <v>0</v>
      </c>
      <c r="K41" s="166">
        <f t="shared" si="1"/>
        <v>0</v>
      </c>
      <c r="L41" s="109">
        <v>204055</v>
      </c>
    </row>
    <row r="42" spans="1:13" ht="18" customHeight="1">
      <c r="A42" s="77" t="s">
        <v>96</v>
      </c>
      <c r="B42" s="263"/>
      <c r="C42" s="263"/>
      <c r="D42" s="263"/>
      <c r="E42" s="94"/>
      <c r="F42" s="94"/>
      <c r="G42" s="94"/>
      <c r="H42" s="94"/>
      <c r="I42" s="94"/>
      <c r="J42" s="114">
        <f t="shared" si="3"/>
        <v>0</v>
      </c>
      <c r="K42" s="166">
        <f t="shared" si="1"/>
        <v>0</v>
      </c>
      <c r="L42" s="109">
        <v>71070</v>
      </c>
    </row>
    <row r="43" spans="1:13" ht="18" customHeight="1">
      <c r="A43" s="84" t="s">
        <v>92</v>
      </c>
      <c r="B43" s="63"/>
      <c r="C43" s="63"/>
      <c r="D43" s="63"/>
      <c r="E43" s="94">
        <f>SUM(E22:E42)</f>
        <v>0</v>
      </c>
      <c r="F43" s="94">
        <f t="shared" ref="F43:J43" si="4">SUM(F22:F42)</f>
        <v>1478192.78</v>
      </c>
      <c r="G43" s="94">
        <f t="shared" si="4"/>
        <v>0</v>
      </c>
      <c r="H43" s="94">
        <f t="shared" si="4"/>
        <v>0</v>
      </c>
      <c r="I43" s="94">
        <f t="shared" si="4"/>
        <v>0</v>
      </c>
      <c r="J43" s="301">
        <f t="shared" si="4"/>
        <v>1478192.78</v>
      </c>
      <c r="K43" s="166">
        <f t="shared" si="1"/>
        <v>1478192.78</v>
      </c>
      <c r="L43" s="109">
        <v>27800</v>
      </c>
      <c r="M43" s="46"/>
    </row>
    <row r="44" spans="1:13" ht="18" customHeight="1">
      <c r="A44" s="84" t="s">
        <v>103</v>
      </c>
      <c r="B44" s="63"/>
      <c r="C44" s="63"/>
      <c r="D44" s="63"/>
      <c r="E44" s="103">
        <f>SUM('DRRM Funds JAN''2016'!E45)</f>
        <v>0</v>
      </c>
      <c r="F44" s="103">
        <f>SUM('DRRM Funds JAN''2016'!F45)</f>
        <v>1331638.72</v>
      </c>
      <c r="G44" s="103">
        <f>SUM('DRRM Funds JAN''2016'!G45)</f>
        <v>0</v>
      </c>
      <c r="H44" s="103">
        <f>SUM('DRRM Funds JAN''2016'!H45)</f>
        <v>0</v>
      </c>
      <c r="I44" s="103">
        <f>SUM('DRRM Funds JAN''2016'!I45)</f>
        <v>0</v>
      </c>
      <c r="J44" s="103">
        <f>SUM('DRRM Funds JAN''2016'!J45)</f>
        <v>1331638.72</v>
      </c>
      <c r="K44" s="166">
        <f t="shared" si="1"/>
        <v>1331638.72</v>
      </c>
      <c r="L44" s="109">
        <v>126865</v>
      </c>
      <c r="M44" s="109">
        <f>SUM(E44:H44)</f>
        <v>1331638.72</v>
      </c>
    </row>
    <row r="45" spans="1:13" ht="18" customHeight="1">
      <c r="A45" s="84" t="s">
        <v>104</v>
      </c>
      <c r="B45" s="63"/>
      <c r="C45" s="63"/>
      <c r="D45" s="63"/>
      <c r="E45" s="103">
        <f>SUM(E43:E44)</f>
        <v>0</v>
      </c>
      <c r="F45" s="103">
        <f t="shared" ref="F45:J45" si="5">SUM(F43:F44)</f>
        <v>2809831.5</v>
      </c>
      <c r="G45" s="103">
        <f t="shared" si="5"/>
        <v>0</v>
      </c>
      <c r="H45" s="103">
        <f t="shared" si="5"/>
        <v>0</v>
      </c>
      <c r="I45" s="103">
        <f t="shared" si="5"/>
        <v>0</v>
      </c>
      <c r="J45" s="103">
        <f t="shared" si="5"/>
        <v>2809831.5</v>
      </c>
      <c r="K45" s="166">
        <f t="shared" si="1"/>
        <v>2809831.5</v>
      </c>
      <c r="L45" s="174">
        <f>SUM(L35:L44)</f>
        <v>3063865</v>
      </c>
      <c r="M45" s="109">
        <v>10492358.970000001</v>
      </c>
    </row>
    <row r="46" spans="1:13" ht="18" customHeight="1">
      <c r="A46" s="70" t="s">
        <v>93</v>
      </c>
      <c r="B46" s="72"/>
      <c r="C46" s="72"/>
      <c r="D46" s="80"/>
      <c r="E46" s="231">
        <f t="shared" ref="E46:J46" si="6">E20-E43</f>
        <v>24908770.422650002</v>
      </c>
      <c r="F46" s="231">
        <f t="shared" si="6"/>
        <v>24783012.472850002</v>
      </c>
      <c r="G46" s="231">
        <f t="shared" si="6"/>
        <v>0</v>
      </c>
      <c r="H46" s="231">
        <f t="shared" si="6"/>
        <v>0</v>
      </c>
      <c r="I46" s="231">
        <f t="shared" si="6"/>
        <v>0</v>
      </c>
      <c r="J46" s="231">
        <f t="shared" si="6"/>
        <v>49691782.895499997</v>
      </c>
      <c r="K46" s="166">
        <f>SUM(E46:I46)</f>
        <v>49691782.895500004</v>
      </c>
      <c r="L46" s="46"/>
      <c r="M46" s="109">
        <f>M45-L45</f>
        <v>7428493.9700000007</v>
      </c>
    </row>
    <row r="47" spans="1:13" ht="18" customHeight="1">
      <c r="A47" s="55"/>
      <c r="B47" s="55"/>
      <c r="C47" s="55"/>
      <c r="D47" s="55"/>
      <c r="E47" s="55"/>
      <c r="F47" s="55"/>
      <c r="G47" s="55"/>
      <c r="H47" s="55"/>
      <c r="I47" s="55"/>
      <c r="J47" s="115" t="s">
        <v>74</v>
      </c>
      <c r="K47" s="92">
        <f>SUM(E46:F46)</f>
        <v>49691782.895500004</v>
      </c>
      <c r="M47" s="109">
        <v>0</v>
      </c>
    </row>
    <row r="48" spans="1:13">
      <c r="A48" s="55" t="s">
        <v>83</v>
      </c>
      <c r="B48" s="55"/>
      <c r="C48" s="55"/>
      <c r="D48" s="55"/>
      <c r="E48" s="55"/>
      <c r="F48" s="55"/>
      <c r="G48" s="55"/>
      <c r="H48" s="55" t="s">
        <v>29</v>
      </c>
      <c r="I48" s="55"/>
      <c r="J48" s="115"/>
      <c r="K48" s="55"/>
      <c r="L48" s="109">
        <v>752760</v>
      </c>
    </row>
    <row r="49" spans="1:13">
      <c r="A49" s="55"/>
      <c r="B49" s="55"/>
      <c r="C49" s="55"/>
      <c r="D49" s="55"/>
      <c r="E49" s="55"/>
      <c r="F49" s="55"/>
      <c r="G49" s="55"/>
      <c r="H49" s="55"/>
      <c r="I49" s="55"/>
      <c r="J49" s="115"/>
      <c r="K49" s="55"/>
      <c r="L49" s="109">
        <v>902075</v>
      </c>
    </row>
    <row r="50" spans="1:13">
      <c r="A50" s="82" t="s">
        <v>202</v>
      </c>
      <c r="B50" s="55"/>
      <c r="C50" s="55"/>
      <c r="D50" s="55"/>
      <c r="E50" s="55"/>
      <c r="F50" s="55"/>
      <c r="G50" s="55"/>
      <c r="H50" s="241" t="s">
        <v>194</v>
      </c>
      <c r="I50" s="55"/>
      <c r="J50" s="115"/>
      <c r="K50" s="55"/>
      <c r="L50" s="109">
        <v>504234.65</v>
      </c>
      <c r="M50" s="109">
        <v>8736531.7100000009</v>
      </c>
    </row>
    <row r="51" spans="1:13">
      <c r="A51" s="140" t="s">
        <v>287</v>
      </c>
      <c r="B51" s="55"/>
      <c r="C51" s="55"/>
      <c r="D51" s="55"/>
      <c r="E51" s="55"/>
      <c r="F51" s="55"/>
      <c r="G51" s="55"/>
      <c r="H51" s="140" t="s">
        <v>195</v>
      </c>
      <c r="I51" s="55"/>
      <c r="J51" s="115"/>
      <c r="K51" s="55"/>
      <c r="L51" s="109">
        <v>899145</v>
      </c>
      <c r="M51" s="109">
        <v>10140</v>
      </c>
    </row>
    <row r="52" spans="1:13">
      <c r="A52" s="55"/>
      <c r="B52" s="55"/>
      <c r="C52" s="55"/>
      <c r="D52" s="55"/>
      <c r="E52" s="121" t="s">
        <v>237</v>
      </c>
      <c r="F52" s="55"/>
      <c r="G52" s="55"/>
      <c r="H52" s="55"/>
      <c r="I52" s="55"/>
      <c r="J52" s="115"/>
      <c r="K52" s="55"/>
      <c r="L52" s="109">
        <v>1087927.3999999999</v>
      </c>
      <c r="M52" s="109">
        <f>SUM(M50:M51)</f>
        <v>8746671.7100000009</v>
      </c>
    </row>
    <row r="53" spans="1:13">
      <c r="A53" s="55"/>
      <c r="B53" s="55"/>
      <c r="C53" s="55"/>
      <c r="D53" s="55"/>
      <c r="E53" s="115"/>
      <c r="F53" s="55"/>
      <c r="G53" s="55"/>
      <c r="H53" s="55"/>
      <c r="I53" s="115"/>
      <c r="J53" s="115"/>
      <c r="K53" s="55"/>
      <c r="L53" s="109">
        <v>2896515.5</v>
      </c>
    </row>
    <row r="54" spans="1:13">
      <c r="A54" s="55"/>
      <c r="B54" s="55"/>
      <c r="C54" s="55"/>
      <c r="D54" s="55"/>
      <c r="E54" s="82" t="s">
        <v>149</v>
      </c>
      <c r="F54" s="55"/>
      <c r="G54" s="55"/>
      <c r="H54" s="55"/>
      <c r="I54" s="115"/>
      <c r="J54" s="115"/>
      <c r="K54" s="55"/>
    </row>
    <row r="55" spans="1:13">
      <c r="A55" s="55"/>
      <c r="B55" s="55"/>
      <c r="C55" s="55"/>
      <c r="D55" s="55"/>
      <c r="E55" s="55" t="s">
        <v>238</v>
      </c>
      <c r="F55" s="55"/>
      <c r="G55" s="55"/>
      <c r="H55" s="55"/>
      <c r="I55" s="115"/>
      <c r="J55" s="115"/>
      <c r="K55" s="55"/>
      <c r="L55" s="109">
        <v>120000</v>
      </c>
    </row>
    <row r="56" spans="1:13">
      <c r="I56" s="109"/>
      <c r="M56" s="46"/>
    </row>
    <row r="57" spans="1:13">
      <c r="F57" s="121"/>
      <c r="I57" s="109"/>
      <c r="K57" s="55"/>
      <c r="L57" s="115">
        <v>630000</v>
      </c>
      <c r="M57" s="183">
        <v>10644424.82</v>
      </c>
    </row>
    <row r="58" spans="1:13">
      <c r="B58" s="276" t="s">
        <v>236</v>
      </c>
      <c r="F58" s="115"/>
      <c r="I58" s="109"/>
      <c r="J58" s="109">
        <v>7850000</v>
      </c>
      <c r="L58" s="109">
        <v>1000000</v>
      </c>
      <c r="M58" s="183">
        <v>13157941.960000001</v>
      </c>
    </row>
    <row r="59" spans="1:13">
      <c r="I59" s="109"/>
      <c r="J59" s="109">
        <v>800000</v>
      </c>
      <c r="L59" s="109">
        <v>1300000</v>
      </c>
      <c r="M59" s="184">
        <v>0</v>
      </c>
    </row>
    <row r="60" spans="1:13">
      <c r="A60" s="46" t="s">
        <v>282</v>
      </c>
      <c r="B60" s="392">
        <f>1493800+99900</f>
        <v>1593700</v>
      </c>
      <c r="C60" s="392"/>
      <c r="I60" s="109"/>
      <c r="J60" s="109">
        <v>1200000</v>
      </c>
      <c r="L60" s="109">
        <v>2000000</v>
      </c>
      <c r="M60" s="183">
        <f>SUM(M57:M59)</f>
        <v>23802366.780000001</v>
      </c>
    </row>
    <row r="61" spans="1:13">
      <c r="A61" s="46" t="s">
        <v>281</v>
      </c>
      <c r="B61" s="392">
        <v>1400000</v>
      </c>
      <c r="C61" s="392"/>
      <c r="I61" s="109"/>
      <c r="J61" s="109">
        <v>3500000</v>
      </c>
      <c r="L61" s="109">
        <v>150000</v>
      </c>
      <c r="M61" s="183">
        <v>24092226.780000001</v>
      </c>
    </row>
    <row r="62" spans="1:13">
      <c r="A62" s="46" t="s">
        <v>258</v>
      </c>
      <c r="B62" s="393">
        <v>1975000</v>
      </c>
      <c r="C62" s="393"/>
      <c r="I62" s="109">
        <v>100000</v>
      </c>
      <c r="J62" s="116">
        <f>SUM(J58:J61)</f>
        <v>13350000</v>
      </c>
      <c r="L62" s="109">
        <v>4590281.96</v>
      </c>
      <c r="M62" s="183">
        <f>M61-M60</f>
        <v>289860</v>
      </c>
    </row>
    <row r="63" spans="1:13">
      <c r="A63" s="46" t="s">
        <v>283</v>
      </c>
      <c r="B63" s="387">
        <v>1214184.3500000001</v>
      </c>
      <c r="C63" s="387"/>
      <c r="I63" s="109">
        <v>4589687.1100000003</v>
      </c>
      <c r="J63" s="109">
        <v>16829861.079999998</v>
      </c>
      <c r="L63" s="109">
        <f>SUM(L57:L62)</f>
        <v>9670281.9600000009</v>
      </c>
      <c r="M63" s="46"/>
    </row>
    <row r="64" spans="1:13">
      <c r="B64" s="388">
        <f>SUM(B60:C63)</f>
        <v>6182884.3499999996</v>
      </c>
      <c r="C64" s="388"/>
      <c r="I64" s="116">
        <f>SUM(I58:I63)</f>
        <v>4689687.1100000003</v>
      </c>
      <c r="J64" s="109">
        <f>J62-J63</f>
        <v>-3479861.0799999982</v>
      </c>
      <c r="M64" s="109">
        <v>24416573.030000001</v>
      </c>
    </row>
    <row r="65" spans="1:13">
      <c r="I65" s="109">
        <v>7212797.6100000003</v>
      </c>
      <c r="M65" s="109">
        <v>24708913.030000001</v>
      </c>
    </row>
    <row r="66" spans="1:13">
      <c r="I66" s="109">
        <f>I64-I65</f>
        <v>-2523110.5</v>
      </c>
      <c r="M66" s="109">
        <f>M64-M65</f>
        <v>-292340</v>
      </c>
    </row>
    <row r="67" spans="1:13">
      <c r="I67" s="109"/>
      <c r="M67" s="109">
        <v>289860</v>
      </c>
    </row>
    <row r="68" spans="1:13">
      <c r="I68" s="109"/>
      <c r="J68" s="109">
        <v>25346381.800000001</v>
      </c>
      <c r="M68" s="173">
        <f>SUM(M66:M67)</f>
        <v>-2480</v>
      </c>
    </row>
    <row r="69" spans="1:13">
      <c r="I69" s="109"/>
      <c r="J69" s="109">
        <v>24042658.690000001</v>
      </c>
      <c r="M69" s="46"/>
    </row>
    <row r="70" spans="1:13">
      <c r="I70" s="109"/>
      <c r="J70" s="109">
        <f>J68-J69</f>
        <v>1303723.1099999994</v>
      </c>
      <c r="L70" s="109">
        <v>400000</v>
      </c>
      <c r="M70" s="46"/>
    </row>
    <row r="71" spans="1:13">
      <c r="I71" s="109"/>
      <c r="L71" s="109">
        <v>1000000</v>
      </c>
      <c r="M71" s="109">
        <v>25279.7</v>
      </c>
    </row>
    <row r="72" spans="1:13">
      <c r="I72" s="109"/>
      <c r="M72" s="109">
        <v>27759.7</v>
      </c>
    </row>
    <row r="73" spans="1:13">
      <c r="H73" s="109"/>
      <c r="I73" s="109"/>
      <c r="M73" s="173">
        <f>M71-M72</f>
        <v>-2480</v>
      </c>
    </row>
    <row r="74" spans="1:13">
      <c r="H74" s="109">
        <v>4455551.57</v>
      </c>
      <c r="I74" s="109"/>
      <c r="J74" s="109">
        <v>17496381.800000001</v>
      </c>
      <c r="M74" s="46"/>
    </row>
    <row r="75" spans="1:13">
      <c r="H75" s="109">
        <v>5760963.6399999997</v>
      </c>
      <c r="I75" s="109"/>
      <c r="J75" s="109">
        <v>7850000</v>
      </c>
      <c r="M75" s="46"/>
    </row>
    <row r="76" spans="1:13">
      <c r="H76" s="109">
        <f>SUM(H74:H75)</f>
        <v>10216515.210000001</v>
      </c>
      <c r="I76" s="109"/>
      <c r="J76" s="109">
        <f>SUM(J74:J75)</f>
        <v>25346381.800000001</v>
      </c>
      <c r="M76" s="46"/>
    </row>
    <row r="77" spans="1:13" s="109" customFormat="1">
      <c r="A77" s="46"/>
      <c r="B77" s="46"/>
      <c r="C77" s="46"/>
      <c r="D77" s="46"/>
      <c r="E77" s="46"/>
      <c r="F77" s="46"/>
      <c r="G77" s="46"/>
    </row>
    <row r="78" spans="1:13" s="109" customFormat="1">
      <c r="A78" s="46"/>
      <c r="B78" s="46"/>
      <c r="C78" s="46"/>
      <c r="D78" s="46"/>
      <c r="E78" s="46"/>
      <c r="F78" s="46"/>
      <c r="G78" s="46"/>
    </row>
    <row r="79" spans="1:13" s="109" customFormat="1">
      <c r="A79" s="46"/>
      <c r="B79" s="46"/>
      <c r="C79" s="46"/>
      <c r="D79" s="46"/>
      <c r="E79" s="46"/>
      <c r="F79" s="46"/>
      <c r="G79" s="46"/>
    </row>
    <row r="80" spans="1:13" s="109" customFormat="1">
      <c r="A80" s="46"/>
      <c r="B80" s="46"/>
      <c r="C80" s="46"/>
      <c r="D80" s="46"/>
      <c r="E80" s="46"/>
      <c r="F80" s="46"/>
      <c r="G80" s="46"/>
    </row>
    <row r="81" spans="1:11" s="109" customFormat="1">
      <c r="A81" s="46"/>
      <c r="B81" s="46"/>
      <c r="C81" s="46"/>
      <c r="D81" s="46"/>
      <c r="E81" s="46"/>
      <c r="F81" s="46"/>
      <c r="G81" s="46"/>
    </row>
    <row r="82" spans="1:11" s="109" customFormat="1">
      <c r="A82" s="46"/>
      <c r="B82" s="46"/>
      <c r="C82" s="46"/>
      <c r="D82" s="46"/>
      <c r="E82" s="46"/>
      <c r="F82" s="46"/>
      <c r="G82" s="46"/>
    </row>
    <row r="83" spans="1:11" s="109" customFormat="1">
      <c r="A83" s="46"/>
      <c r="B83" s="46"/>
      <c r="C83" s="46"/>
      <c r="D83" s="46"/>
      <c r="E83" s="46"/>
      <c r="F83" s="46"/>
      <c r="G83" s="46"/>
      <c r="H83" s="46"/>
    </row>
    <row r="84" spans="1:11" s="109" customFormat="1">
      <c r="A84" s="46"/>
      <c r="B84" s="46"/>
      <c r="C84" s="46"/>
      <c r="D84" s="46"/>
      <c r="E84" s="46"/>
      <c r="F84" s="46"/>
      <c r="G84" s="46"/>
      <c r="H84" s="46"/>
    </row>
    <row r="85" spans="1:11" s="109" customFormat="1">
      <c r="A85" s="46"/>
      <c r="B85" s="46"/>
      <c r="C85" s="46"/>
      <c r="D85" s="46"/>
      <c r="E85" s="46"/>
      <c r="F85" s="46"/>
      <c r="G85" s="46"/>
      <c r="H85" s="46"/>
    </row>
    <row r="86" spans="1:11" s="109" customFormat="1">
      <c r="A86" s="46"/>
      <c r="B86" s="46"/>
      <c r="C86" s="46"/>
      <c r="D86" s="46"/>
      <c r="E86" s="46"/>
      <c r="F86" s="46"/>
      <c r="G86" s="46"/>
      <c r="H86" s="46"/>
    </row>
    <row r="87" spans="1:11" s="109" customFormat="1">
      <c r="A87" s="46"/>
      <c r="B87" s="46"/>
      <c r="C87" s="46"/>
      <c r="D87" s="46"/>
      <c r="E87" s="46"/>
      <c r="F87" s="46"/>
      <c r="G87" s="46"/>
      <c r="H87" s="46"/>
      <c r="K87" s="46"/>
    </row>
    <row r="88" spans="1:11" s="109" customFormat="1">
      <c r="A88" s="46"/>
      <c r="B88" s="46"/>
      <c r="C88" s="46"/>
      <c r="D88" s="46"/>
      <c r="E88" s="46"/>
      <c r="F88" s="46"/>
      <c r="G88" s="46"/>
      <c r="H88" s="46"/>
      <c r="K88" s="46"/>
    </row>
    <row r="89" spans="1:11" s="109" customFormat="1">
      <c r="A89" s="46"/>
      <c r="B89" s="46"/>
      <c r="C89" s="46"/>
      <c r="D89" s="46"/>
      <c r="E89" s="46"/>
      <c r="F89" s="46"/>
      <c r="G89" s="46"/>
      <c r="H89" s="46"/>
      <c r="K89" s="46"/>
    </row>
    <row r="90" spans="1:11" s="109" customFormat="1">
      <c r="A90" s="46"/>
      <c r="B90" s="46"/>
      <c r="C90" s="46"/>
      <c r="D90" s="46"/>
      <c r="E90" s="46"/>
      <c r="F90" s="46"/>
      <c r="G90" s="46"/>
      <c r="H90" s="46"/>
      <c r="K90" s="46"/>
    </row>
    <row r="91" spans="1:11" s="109" customFormat="1">
      <c r="A91" s="46"/>
      <c r="B91" s="46"/>
      <c r="C91" s="46"/>
      <c r="D91" s="46"/>
      <c r="E91" s="46"/>
      <c r="F91" s="46"/>
      <c r="G91" s="46"/>
      <c r="H91" s="46"/>
      <c r="K91" s="46"/>
    </row>
    <row r="92" spans="1:11" s="109" customFormat="1">
      <c r="A92" s="46"/>
      <c r="B92" s="46"/>
      <c r="C92" s="46"/>
      <c r="D92" s="46"/>
      <c r="E92" s="46"/>
      <c r="F92" s="46"/>
      <c r="G92" s="46"/>
      <c r="H92" s="46"/>
      <c r="K92" s="46"/>
    </row>
    <row r="93" spans="1:11" s="109" customFormat="1">
      <c r="A93" s="46"/>
      <c r="B93" s="46"/>
      <c r="C93" s="46"/>
      <c r="D93" s="46"/>
      <c r="E93" s="46"/>
      <c r="F93" s="46"/>
      <c r="G93" s="46"/>
      <c r="H93" s="46"/>
      <c r="K93" s="46"/>
    </row>
    <row r="94" spans="1:11" s="109" customFormat="1">
      <c r="A94" s="46"/>
      <c r="B94" s="46"/>
      <c r="C94" s="46"/>
      <c r="D94" s="46"/>
      <c r="E94" s="46"/>
      <c r="F94" s="46"/>
      <c r="G94" s="46"/>
      <c r="H94" s="46"/>
      <c r="K94" s="46"/>
    </row>
    <row r="95" spans="1:11" s="109" customFormat="1">
      <c r="A95" s="46"/>
      <c r="B95" s="46"/>
      <c r="C95" s="46"/>
      <c r="D95" s="46"/>
      <c r="E95" s="46"/>
      <c r="F95" s="46"/>
      <c r="G95" s="46"/>
      <c r="H95" s="46"/>
      <c r="K95" s="46"/>
    </row>
    <row r="96" spans="1:11" s="109" customFormat="1">
      <c r="A96" s="46"/>
      <c r="B96" s="46"/>
      <c r="C96" s="46"/>
      <c r="D96" s="46"/>
      <c r="E96" s="46"/>
      <c r="F96" s="46"/>
      <c r="G96" s="46"/>
      <c r="H96" s="46"/>
      <c r="K96" s="46"/>
    </row>
    <row r="97" spans="1:11" s="109" customFormat="1">
      <c r="A97" s="46"/>
      <c r="B97" s="46"/>
      <c r="C97" s="46"/>
      <c r="D97" s="46"/>
      <c r="E97" s="46"/>
      <c r="F97" s="46"/>
      <c r="G97" s="46"/>
      <c r="H97" s="46"/>
      <c r="K97" s="46"/>
    </row>
    <row r="98" spans="1:11" s="109" customFormat="1">
      <c r="A98" s="46"/>
      <c r="B98" s="46"/>
      <c r="C98" s="46"/>
      <c r="D98" s="46"/>
      <c r="E98" s="46"/>
      <c r="F98" s="46"/>
      <c r="G98" s="46"/>
      <c r="H98" s="46"/>
      <c r="K98" s="46"/>
    </row>
    <row r="99" spans="1:11" s="109" customFormat="1">
      <c r="A99" s="46"/>
      <c r="B99" s="46"/>
      <c r="C99" s="46"/>
      <c r="D99" s="46"/>
      <c r="E99" s="46"/>
      <c r="F99" s="46"/>
      <c r="G99" s="46"/>
      <c r="H99" s="46"/>
      <c r="K99" s="46"/>
    </row>
  </sheetData>
  <mergeCells count="8">
    <mergeCell ref="B63:C63"/>
    <mergeCell ref="B64:C64"/>
    <mergeCell ref="A2:J2"/>
    <mergeCell ref="A3:J3"/>
    <mergeCell ref="A4:J4"/>
    <mergeCell ref="B60:C60"/>
    <mergeCell ref="B61:C61"/>
    <mergeCell ref="B62:C62"/>
  </mergeCells>
  <printOptions horizontalCentered="1"/>
  <pageMargins left="0.02" right="0.15" top="0.39" bottom="0.1" header="0.21" footer="0.1"/>
  <pageSetup scale="84" orientation="portrait" horizontalDpi="4294967294" verticalDpi="3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N99"/>
  <sheetViews>
    <sheetView topLeftCell="A7" workbookViewId="0">
      <selection activeCell="I22" sqref="I22"/>
    </sheetView>
  </sheetViews>
  <sheetFormatPr defaultRowHeight="12.75"/>
  <cols>
    <col min="1" max="1" width="6" style="46" customWidth="1"/>
    <col min="2" max="3" width="9.140625" style="46"/>
    <col min="4" max="4" width="16.5703125" style="46" customWidth="1"/>
    <col min="5" max="6" width="13.85546875" style="46" customWidth="1"/>
    <col min="7" max="7" width="10" style="46" customWidth="1"/>
    <col min="8" max="8" width="11.5703125" style="46" customWidth="1"/>
    <col min="9" max="9" width="11.42578125" style="46" customWidth="1"/>
    <col min="10" max="10" width="13.28515625" style="109" customWidth="1"/>
    <col min="11" max="11" width="15.7109375" style="46" customWidth="1"/>
    <col min="12" max="12" width="16.85546875" style="109" customWidth="1"/>
    <col min="13" max="13" width="17" style="109" customWidth="1"/>
    <col min="14" max="14" width="17" style="46" customWidth="1"/>
    <col min="15" max="16384" width="9.140625" style="46"/>
  </cols>
  <sheetData>
    <row r="1" spans="1:13">
      <c r="A1" s="47"/>
      <c r="B1" s="48"/>
      <c r="C1" s="48"/>
      <c r="D1" s="48"/>
      <c r="E1" s="48"/>
      <c r="F1" s="48"/>
      <c r="G1" s="48"/>
      <c r="H1" s="48"/>
      <c r="I1" s="48"/>
      <c r="J1" s="169" t="s">
        <v>81</v>
      </c>
    </row>
    <row r="2" spans="1:13">
      <c r="A2" s="389" t="s">
        <v>80</v>
      </c>
      <c r="B2" s="390"/>
      <c r="C2" s="390"/>
      <c r="D2" s="390"/>
      <c r="E2" s="390"/>
      <c r="F2" s="390"/>
      <c r="G2" s="390"/>
      <c r="H2" s="390"/>
      <c r="I2" s="390"/>
      <c r="J2" s="391"/>
    </row>
    <row r="3" spans="1:13">
      <c r="A3" s="389" t="s">
        <v>286</v>
      </c>
      <c r="B3" s="390"/>
      <c r="C3" s="390"/>
      <c r="D3" s="390"/>
      <c r="E3" s="390"/>
      <c r="F3" s="390"/>
      <c r="G3" s="390"/>
      <c r="H3" s="390"/>
      <c r="I3" s="390"/>
      <c r="J3" s="391"/>
    </row>
    <row r="4" spans="1:13">
      <c r="A4" s="389"/>
      <c r="B4" s="390"/>
      <c r="C4" s="390"/>
      <c r="D4" s="390"/>
      <c r="E4" s="390"/>
      <c r="F4" s="390"/>
      <c r="G4" s="390"/>
      <c r="H4" s="390"/>
      <c r="I4" s="390"/>
      <c r="J4" s="391"/>
    </row>
    <row r="5" spans="1:13">
      <c r="A5" s="54" t="s">
        <v>77</v>
      </c>
      <c r="B5" s="282"/>
      <c r="C5" s="282"/>
      <c r="D5" s="282"/>
      <c r="E5" s="282"/>
      <c r="F5" s="282"/>
      <c r="G5" s="282"/>
      <c r="H5" s="282"/>
      <c r="I5" s="282"/>
      <c r="J5" s="170"/>
    </row>
    <row r="6" spans="1:13">
      <c r="A6" s="54" t="s">
        <v>76</v>
      </c>
      <c r="B6" s="55"/>
      <c r="C6" s="55"/>
      <c r="D6" s="55"/>
      <c r="E6" s="55"/>
      <c r="F6" s="55"/>
      <c r="G6" s="55"/>
      <c r="H6" s="55" t="s">
        <v>278</v>
      </c>
      <c r="I6" s="55"/>
      <c r="J6" s="171"/>
      <c r="K6" s="46" t="s">
        <v>210</v>
      </c>
    </row>
    <row r="7" spans="1:13">
      <c r="A7" s="47"/>
      <c r="B7" s="48"/>
      <c r="C7" s="48"/>
      <c r="D7" s="49"/>
      <c r="E7" s="88" t="s">
        <v>8</v>
      </c>
      <c r="F7" s="50"/>
      <c r="G7" s="52"/>
      <c r="H7" s="52"/>
      <c r="I7" s="53"/>
      <c r="J7" s="110"/>
    </row>
    <row r="8" spans="1:13">
      <c r="A8" s="54"/>
      <c r="B8" s="55"/>
      <c r="C8" s="55"/>
      <c r="D8" s="56"/>
      <c r="E8" s="281" t="s">
        <v>9</v>
      </c>
      <c r="F8" s="53"/>
      <c r="G8" s="59"/>
      <c r="H8" s="59"/>
      <c r="I8" s="58"/>
      <c r="J8" s="111"/>
    </row>
    <row r="9" spans="1:13">
      <c r="A9" s="61" t="s">
        <v>68</v>
      </c>
      <c r="B9" s="55"/>
      <c r="C9" s="55"/>
      <c r="D9" s="56"/>
      <c r="E9" s="281" t="s">
        <v>10</v>
      </c>
      <c r="F9" s="60" t="s">
        <v>12</v>
      </c>
      <c r="G9" s="60" t="s">
        <v>14</v>
      </c>
      <c r="H9" s="60" t="s">
        <v>20</v>
      </c>
      <c r="I9" s="60" t="s">
        <v>22</v>
      </c>
      <c r="J9" s="112" t="s">
        <v>24</v>
      </c>
    </row>
    <row r="10" spans="1:13">
      <c r="A10" s="54"/>
      <c r="B10" s="55"/>
      <c r="C10" s="55"/>
      <c r="D10" s="56"/>
      <c r="E10" s="281" t="s">
        <v>11</v>
      </c>
      <c r="F10" s="60" t="s">
        <v>13</v>
      </c>
      <c r="G10" s="59"/>
      <c r="H10" s="60" t="s">
        <v>21</v>
      </c>
      <c r="I10" s="60" t="s">
        <v>23</v>
      </c>
      <c r="J10" s="111"/>
    </row>
    <row r="11" spans="1:13">
      <c r="A11" s="62"/>
      <c r="B11" s="63"/>
      <c r="C11" s="63"/>
      <c r="D11" s="64"/>
      <c r="E11" s="65">
        <v>0.3</v>
      </c>
      <c r="F11" s="66">
        <v>0.7</v>
      </c>
      <c r="G11" s="59"/>
      <c r="H11" s="67"/>
      <c r="I11" s="68"/>
      <c r="J11" s="113"/>
    </row>
    <row r="12" spans="1:13" ht="18" customHeight="1">
      <c r="A12" s="70" t="s">
        <v>0</v>
      </c>
      <c r="B12" s="71"/>
      <c r="C12" s="71"/>
      <c r="D12" s="72"/>
      <c r="E12" s="51"/>
      <c r="F12" s="51"/>
      <c r="G12" s="51"/>
      <c r="H12" s="51"/>
      <c r="I12" s="51"/>
      <c r="J12" s="110"/>
      <c r="L12" s="283" t="s">
        <v>90</v>
      </c>
      <c r="M12" s="283" t="s">
        <v>89</v>
      </c>
    </row>
    <row r="13" spans="1:13" ht="18" customHeight="1">
      <c r="A13" s="73" t="s">
        <v>1</v>
      </c>
      <c r="B13" s="72"/>
      <c r="C13" s="72"/>
      <c r="D13" s="72"/>
      <c r="E13" s="94">
        <f>M19*0.3</f>
        <v>2017307.085</v>
      </c>
      <c r="F13" s="94">
        <f>M19*0.7</f>
        <v>4707049.8650000002</v>
      </c>
      <c r="G13" s="94"/>
      <c r="H13" s="94"/>
      <c r="I13" s="94"/>
      <c r="J13" s="114">
        <f>SUM(E13:I13)</f>
        <v>6724356.9500000002</v>
      </c>
      <c r="K13" s="175" t="e">
        <f>SUM(J13+#REF!+#REF!+#REF!+#REF!+#REF!+#REF!+#REF!+#REF!+#REF!+#REF!+#REF!)</f>
        <v>#REF!</v>
      </c>
      <c r="L13" s="109">
        <v>21367644.399999999</v>
      </c>
      <c r="M13" s="109">
        <v>4171566.4</v>
      </c>
    </row>
    <row r="14" spans="1:13" ht="18" customHeight="1">
      <c r="A14" s="73" t="s">
        <v>2</v>
      </c>
      <c r="B14" s="72"/>
      <c r="C14" s="72"/>
      <c r="D14" s="72"/>
      <c r="E14" s="102"/>
      <c r="F14" s="337">
        <v>12421065.890000001</v>
      </c>
      <c r="G14" s="102"/>
      <c r="H14" s="102"/>
      <c r="I14" s="102"/>
      <c r="J14" s="338">
        <f>SUM(E14:I14)</f>
        <v>12421065.890000001</v>
      </c>
      <c r="K14" s="117" t="s">
        <v>88</v>
      </c>
      <c r="L14" s="109">
        <v>9400000</v>
      </c>
      <c r="M14" s="109">
        <v>5637398.9699999997</v>
      </c>
    </row>
    <row r="15" spans="1:13" ht="18" customHeight="1">
      <c r="A15" s="75" t="s">
        <v>3</v>
      </c>
      <c r="B15" s="48"/>
      <c r="C15" s="48"/>
      <c r="D15" s="48"/>
      <c r="E15" s="102"/>
      <c r="F15" s="102"/>
      <c r="G15" s="102"/>
      <c r="H15" s="102"/>
      <c r="I15" s="102"/>
      <c r="J15" s="110"/>
      <c r="L15" s="116">
        <f>SUM(L13:L14)</f>
        <v>30767644.399999999</v>
      </c>
      <c r="M15" s="116">
        <f>SUM(M13:M14)</f>
        <v>9808965.3699999992</v>
      </c>
    </row>
    <row r="16" spans="1:13" ht="18" customHeight="1">
      <c r="A16" s="76" t="s">
        <v>78</v>
      </c>
      <c r="B16" s="55"/>
      <c r="C16" s="55"/>
      <c r="D16" s="55"/>
      <c r="E16" s="103">
        <v>21694098.140000001</v>
      </c>
      <c r="F16" s="103">
        <v>7670876.0899999999</v>
      </c>
      <c r="G16" s="103"/>
      <c r="H16" s="103"/>
      <c r="I16" s="103"/>
      <c r="J16" s="339">
        <f>SUM(E16:I16)</f>
        <v>29364974.23</v>
      </c>
      <c r="K16" s="46">
        <v>11930281.960000001</v>
      </c>
    </row>
    <row r="17" spans="1:13" ht="18" customHeight="1">
      <c r="A17" s="77" t="s">
        <v>79</v>
      </c>
      <c r="B17" s="72"/>
      <c r="C17" s="72"/>
      <c r="D17" s="72"/>
      <c r="E17" s="94"/>
      <c r="F17" s="94"/>
      <c r="G17" s="94"/>
      <c r="H17" s="94"/>
      <c r="I17" s="94"/>
      <c r="J17" s="113">
        <f>SUM(E17:I17)</f>
        <v>0</v>
      </c>
      <c r="K17" s="173">
        <f>K16-J16</f>
        <v>-17434692.27</v>
      </c>
      <c r="M17" s="109">
        <v>25936573.030000001</v>
      </c>
    </row>
    <row r="18" spans="1:13" ht="18" customHeight="1">
      <c r="A18" s="70" t="s">
        <v>7</v>
      </c>
      <c r="B18" s="72"/>
      <c r="C18" s="72"/>
      <c r="D18" s="72"/>
      <c r="E18" s="119">
        <f>SUM(E13:E17)</f>
        <v>23711405.225000001</v>
      </c>
      <c r="F18" s="119">
        <f t="shared" ref="F18:J18" si="0">SUM(F13:F17)</f>
        <v>24798991.845000003</v>
      </c>
      <c r="G18" s="119">
        <f t="shared" si="0"/>
        <v>0</v>
      </c>
      <c r="H18" s="119">
        <f t="shared" si="0"/>
        <v>0</v>
      </c>
      <c r="I18" s="119">
        <f t="shared" si="0"/>
        <v>0</v>
      </c>
      <c r="J18" s="302">
        <f t="shared" si="0"/>
        <v>48510397.07</v>
      </c>
      <c r="K18" s="166">
        <f t="shared" ref="K18:K45" si="1">SUM(E18:I18)</f>
        <v>48510397.070000008</v>
      </c>
      <c r="L18" s="193" t="s">
        <v>171</v>
      </c>
      <c r="M18" s="192">
        <v>134487139</v>
      </c>
    </row>
    <row r="19" spans="1:13" s="109" customFormat="1" ht="18" customHeight="1">
      <c r="A19" s="74" t="s">
        <v>99</v>
      </c>
      <c r="B19" s="72" t="s">
        <v>100</v>
      </c>
      <c r="C19" s="72"/>
      <c r="D19" s="72"/>
      <c r="E19" s="94"/>
      <c r="F19" s="94"/>
      <c r="G19" s="94"/>
      <c r="H19" s="94"/>
      <c r="I19" s="94"/>
      <c r="J19" s="94"/>
      <c r="K19" s="166">
        <f t="shared" si="1"/>
        <v>0</v>
      </c>
      <c r="L19" s="194">
        <v>0.05</v>
      </c>
      <c r="M19" s="269">
        <f>M18*0.05</f>
        <v>6724356.9500000002</v>
      </c>
    </row>
    <row r="20" spans="1:13" s="109" customFormat="1" ht="18" customHeight="1">
      <c r="A20" s="70" t="s">
        <v>101</v>
      </c>
      <c r="B20" s="122"/>
      <c r="C20" s="72"/>
      <c r="D20" s="72"/>
      <c r="E20" s="119">
        <f>SUM(E18:E19)</f>
        <v>23711405.225000001</v>
      </c>
      <c r="F20" s="119">
        <f t="shared" ref="F20:J20" si="2">SUM(F18:F19)</f>
        <v>24798991.845000003</v>
      </c>
      <c r="G20" s="119">
        <f t="shared" si="2"/>
        <v>0</v>
      </c>
      <c r="H20" s="119">
        <f t="shared" si="2"/>
        <v>0</v>
      </c>
      <c r="I20" s="119">
        <f t="shared" si="2"/>
        <v>0</v>
      </c>
      <c r="J20" s="119">
        <f t="shared" si="2"/>
        <v>48510397.07</v>
      </c>
      <c r="K20" s="166">
        <f t="shared" si="1"/>
        <v>48510397.070000008</v>
      </c>
    </row>
    <row r="21" spans="1:13" ht="18" customHeight="1">
      <c r="A21" s="70" t="s">
        <v>15</v>
      </c>
      <c r="B21" s="72"/>
      <c r="C21" s="72"/>
      <c r="D21" s="72"/>
      <c r="E21" s="94"/>
      <c r="F21" s="94"/>
      <c r="G21" s="94"/>
      <c r="H21" s="94"/>
      <c r="I21" s="94"/>
      <c r="J21" s="114"/>
      <c r="K21" s="166">
        <f t="shared" si="1"/>
        <v>0</v>
      </c>
      <c r="M21" s="109">
        <v>26972032.48</v>
      </c>
    </row>
    <row r="22" spans="1:13" ht="18" customHeight="1">
      <c r="A22" s="77" t="s">
        <v>206</v>
      </c>
      <c r="B22" s="263"/>
      <c r="C22" s="263"/>
      <c r="D22" s="263"/>
      <c r="E22" s="94"/>
      <c r="F22" s="94"/>
      <c r="G22" s="94"/>
      <c r="H22" s="94"/>
      <c r="I22" s="94"/>
      <c r="J22" s="114">
        <f>SUM(E22:I22)</f>
        <v>0</v>
      </c>
      <c r="K22" s="166"/>
    </row>
    <row r="23" spans="1:13" ht="18" customHeight="1">
      <c r="A23" s="77" t="s">
        <v>251</v>
      </c>
      <c r="B23" s="263"/>
      <c r="C23" s="263"/>
      <c r="D23" s="263"/>
      <c r="E23" s="94"/>
      <c r="F23" s="94"/>
      <c r="G23" s="94"/>
      <c r="H23" s="94"/>
      <c r="I23" s="94"/>
      <c r="J23" s="114">
        <f t="shared" ref="J23:J42" si="3">SUM(E23:I23)</f>
        <v>0</v>
      </c>
      <c r="K23" s="166">
        <f t="shared" si="1"/>
        <v>0</v>
      </c>
      <c r="L23" s="176">
        <f>518731460.56*0.05</f>
        <v>25936573.028000001</v>
      </c>
      <c r="M23" s="109">
        <v>125607.13</v>
      </c>
    </row>
    <row r="24" spans="1:13" ht="18" customHeight="1">
      <c r="A24" s="290" t="s">
        <v>229</v>
      </c>
      <c r="B24" s="291"/>
      <c r="C24" s="291"/>
      <c r="D24" s="291"/>
      <c r="E24" s="292"/>
      <c r="F24" s="292"/>
      <c r="G24" s="292"/>
      <c r="H24" s="292"/>
      <c r="I24" s="292"/>
      <c r="J24" s="114">
        <f t="shared" si="3"/>
        <v>0</v>
      </c>
      <c r="K24" s="166"/>
      <c r="L24" s="228"/>
    </row>
    <row r="25" spans="1:13" ht="18" customHeight="1">
      <c r="A25" s="290" t="s">
        <v>252</v>
      </c>
      <c r="B25" s="291"/>
      <c r="C25" s="291"/>
      <c r="D25" s="291"/>
      <c r="E25" s="292"/>
      <c r="F25" s="292">
        <v>865012</v>
      </c>
      <c r="G25" s="292"/>
      <c r="H25" s="292"/>
      <c r="I25" s="292"/>
      <c r="J25" s="114">
        <f t="shared" si="3"/>
        <v>865012</v>
      </c>
      <c r="K25" s="166">
        <f t="shared" si="1"/>
        <v>865012</v>
      </c>
      <c r="L25" s="109" t="e">
        <f>L23-K13</f>
        <v>#REF!</v>
      </c>
      <c r="M25" s="109">
        <v>510000</v>
      </c>
    </row>
    <row r="26" spans="1:13" ht="18" customHeight="1">
      <c r="A26" s="290" t="s">
        <v>276</v>
      </c>
      <c r="B26" s="291"/>
      <c r="C26" s="291"/>
      <c r="D26" s="291"/>
      <c r="E26" s="292"/>
      <c r="F26" s="292">
        <v>466626.72</v>
      </c>
      <c r="G26" s="292"/>
      <c r="H26" s="292"/>
      <c r="I26" s="292"/>
      <c r="J26" s="114">
        <f t="shared" si="3"/>
        <v>466626.72</v>
      </c>
      <c r="K26" s="166">
        <f t="shared" si="1"/>
        <v>466626.72</v>
      </c>
      <c r="M26" s="109">
        <v>1430000</v>
      </c>
    </row>
    <row r="27" spans="1:13" ht="18" customHeight="1">
      <c r="A27" s="293" t="s">
        <v>275</v>
      </c>
      <c r="B27" s="291"/>
      <c r="C27" s="291"/>
      <c r="D27" s="291"/>
      <c r="E27" s="292"/>
      <c r="F27" s="292"/>
      <c r="G27" s="292"/>
      <c r="H27" s="292"/>
      <c r="I27" s="292"/>
      <c r="J27" s="114">
        <f t="shared" si="3"/>
        <v>0</v>
      </c>
      <c r="K27" s="166">
        <f t="shared" si="1"/>
        <v>0</v>
      </c>
      <c r="M27" s="109">
        <v>4285413.1100000003</v>
      </c>
    </row>
    <row r="28" spans="1:13" ht="18" customHeight="1">
      <c r="A28" s="290" t="s">
        <v>274</v>
      </c>
      <c r="B28" s="291"/>
      <c r="C28" s="291"/>
      <c r="D28" s="291"/>
      <c r="E28" s="292"/>
      <c r="F28" s="292"/>
      <c r="G28" s="292"/>
      <c r="H28" s="292"/>
      <c r="I28" s="292"/>
      <c r="J28" s="114">
        <f t="shared" si="3"/>
        <v>0</v>
      </c>
      <c r="K28" s="166">
        <f t="shared" si="1"/>
        <v>0</v>
      </c>
      <c r="M28" s="109">
        <v>3777930</v>
      </c>
    </row>
    <row r="29" spans="1:13" ht="18" customHeight="1">
      <c r="A29" s="290" t="s">
        <v>227</v>
      </c>
      <c r="B29" s="291"/>
      <c r="C29" s="291"/>
      <c r="D29" s="291"/>
      <c r="E29" s="292"/>
      <c r="F29" s="292"/>
      <c r="G29" s="292"/>
      <c r="H29" s="292"/>
      <c r="I29" s="292"/>
      <c r="J29" s="114">
        <f t="shared" si="3"/>
        <v>0</v>
      </c>
      <c r="K29" s="166">
        <f t="shared" si="1"/>
        <v>0</v>
      </c>
      <c r="L29" s="283" t="s">
        <v>162</v>
      </c>
      <c r="M29" s="109">
        <v>100</v>
      </c>
    </row>
    <row r="30" spans="1:13" ht="18" customHeight="1">
      <c r="A30" s="290" t="s">
        <v>273</v>
      </c>
      <c r="B30" s="291"/>
      <c r="C30" s="291"/>
      <c r="D30" s="291"/>
      <c r="E30" s="292"/>
      <c r="F30" s="292"/>
      <c r="G30" s="292"/>
      <c r="H30" s="292"/>
      <c r="I30" s="292"/>
      <c r="J30" s="114">
        <f t="shared" si="3"/>
        <v>0</v>
      </c>
      <c r="K30" s="166"/>
      <c r="L30" s="283"/>
    </row>
    <row r="31" spans="1:13" ht="18" customHeight="1">
      <c r="A31" s="290" t="s">
        <v>213</v>
      </c>
      <c r="B31" s="291"/>
      <c r="C31" s="291"/>
      <c r="D31" s="291"/>
      <c r="E31" s="292"/>
      <c r="F31" s="292"/>
      <c r="G31" s="292"/>
      <c r="H31" s="292"/>
      <c r="I31" s="292"/>
      <c r="J31" s="114">
        <f t="shared" si="3"/>
        <v>0</v>
      </c>
      <c r="K31" s="166"/>
      <c r="L31" s="283"/>
      <c r="M31" s="109">
        <f>SUM(M23:M29)</f>
        <v>10129050.24</v>
      </c>
    </row>
    <row r="32" spans="1:13" ht="18" customHeight="1">
      <c r="A32" s="290" t="s">
        <v>250</v>
      </c>
      <c r="B32" s="291"/>
      <c r="C32" s="291"/>
      <c r="D32" s="291"/>
      <c r="E32" s="292"/>
      <c r="F32" s="292"/>
      <c r="G32" s="292"/>
      <c r="H32" s="292"/>
      <c r="I32" s="292"/>
      <c r="J32" s="114">
        <f t="shared" si="3"/>
        <v>0</v>
      </c>
      <c r="K32" s="166"/>
      <c r="L32" s="283"/>
    </row>
    <row r="33" spans="1:14" ht="18" customHeight="1">
      <c r="A33" s="290" t="s">
        <v>214</v>
      </c>
      <c r="B33" s="291"/>
      <c r="C33" s="291"/>
      <c r="D33" s="291"/>
      <c r="E33" s="292"/>
      <c r="F33" s="292"/>
      <c r="G33" s="292"/>
      <c r="H33" s="292"/>
      <c r="I33" s="292"/>
      <c r="J33" s="114">
        <f t="shared" si="3"/>
        <v>0</v>
      </c>
      <c r="K33" s="227"/>
      <c r="L33" s="283"/>
    </row>
    <row r="34" spans="1:14" ht="18" customHeight="1">
      <c r="A34" s="290" t="s">
        <v>249</v>
      </c>
      <c r="B34" s="291"/>
      <c r="C34" s="291"/>
      <c r="D34" s="291"/>
      <c r="E34" s="292"/>
      <c r="F34" s="292"/>
      <c r="G34" s="292"/>
      <c r="H34" s="292"/>
      <c r="I34" s="292"/>
      <c r="J34" s="114">
        <f t="shared" si="3"/>
        <v>0</v>
      </c>
      <c r="K34" s="265"/>
      <c r="L34" s="283"/>
      <c r="M34" s="232" t="s">
        <v>236</v>
      </c>
    </row>
    <row r="35" spans="1:14" ht="18" customHeight="1">
      <c r="A35" s="290" t="s">
        <v>222</v>
      </c>
      <c r="B35" s="291"/>
      <c r="C35" s="291"/>
      <c r="D35" s="291"/>
      <c r="E35" s="292"/>
      <c r="F35" s="292"/>
      <c r="G35" s="292"/>
      <c r="H35" s="292"/>
      <c r="I35" s="292"/>
      <c r="J35" s="114">
        <f t="shared" si="3"/>
        <v>0</v>
      </c>
      <c r="K35" s="266">
        <f t="shared" si="1"/>
        <v>0</v>
      </c>
      <c r="L35" s="109">
        <f>SUM(F29:F35)</f>
        <v>0</v>
      </c>
      <c r="M35" s="229">
        <v>275607.13</v>
      </c>
      <c r="N35" s="46" t="s">
        <v>230</v>
      </c>
    </row>
    <row r="36" spans="1:14" ht="18" customHeight="1">
      <c r="A36" s="290" t="s">
        <v>223</v>
      </c>
      <c r="B36" s="291"/>
      <c r="C36" s="291"/>
      <c r="D36" s="291"/>
      <c r="E36" s="292"/>
      <c r="F36" s="292"/>
      <c r="G36" s="292"/>
      <c r="H36" s="292"/>
      <c r="I36" s="292"/>
      <c r="J36" s="114">
        <f t="shared" si="3"/>
        <v>0</v>
      </c>
      <c r="K36" s="166">
        <f t="shared" si="1"/>
        <v>0</v>
      </c>
      <c r="L36" s="109">
        <v>147060</v>
      </c>
      <c r="M36" s="229">
        <v>695000</v>
      </c>
      <c r="N36" s="46" t="s">
        <v>232</v>
      </c>
    </row>
    <row r="37" spans="1:14" ht="18" customHeight="1">
      <c r="A37" s="290" t="s">
        <v>168</v>
      </c>
      <c r="B37" s="291"/>
      <c r="C37" s="291"/>
      <c r="D37" s="291"/>
      <c r="E37" s="292"/>
      <c r="F37" s="292"/>
      <c r="G37" s="292"/>
      <c r="H37" s="292"/>
      <c r="I37" s="292"/>
      <c r="J37" s="114">
        <f t="shared" si="3"/>
        <v>0</v>
      </c>
      <c r="K37" s="166">
        <f t="shared" si="1"/>
        <v>0</v>
      </c>
      <c r="M37" s="229">
        <v>1470000</v>
      </c>
      <c r="N37" s="46" t="s">
        <v>233</v>
      </c>
    </row>
    <row r="38" spans="1:14" ht="18" customHeight="1">
      <c r="A38" s="290" t="s">
        <v>208</v>
      </c>
      <c r="B38" s="291"/>
      <c r="C38" s="291"/>
      <c r="D38" s="291"/>
      <c r="E38" s="292"/>
      <c r="F38" s="292"/>
      <c r="G38" s="292"/>
      <c r="H38" s="292"/>
      <c r="I38" s="292"/>
      <c r="J38" s="114">
        <f t="shared" si="3"/>
        <v>0</v>
      </c>
      <c r="K38" s="166">
        <f t="shared" si="1"/>
        <v>0</v>
      </c>
      <c r="L38" s="109">
        <v>1555500</v>
      </c>
      <c r="M38" s="229">
        <v>3071228.76</v>
      </c>
      <c r="N38" s="46" t="s">
        <v>231</v>
      </c>
    </row>
    <row r="39" spans="1:14" ht="18" customHeight="1">
      <c r="A39" s="290" t="s">
        <v>207</v>
      </c>
      <c r="B39" s="291"/>
      <c r="C39" s="291"/>
      <c r="D39" s="291"/>
      <c r="E39" s="292"/>
      <c r="F39" s="292"/>
      <c r="G39" s="292"/>
      <c r="H39" s="292"/>
      <c r="I39" s="292"/>
      <c r="J39" s="114">
        <f t="shared" si="3"/>
        <v>0</v>
      </c>
      <c r="K39" s="166"/>
      <c r="M39" s="229">
        <v>5009130</v>
      </c>
      <c r="N39" s="46" t="s">
        <v>234</v>
      </c>
    </row>
    <row r="40" spans="1:14" ht="18" customHeight="1">
      <c r="A40" s="83" t="s">
        <v>94</v>
      </c>
      <c r="B40" s="263"/>
      <c r="C40" s="263"/>
      <c r="D40" s="263"/>
      <c r="E40" s="94"/>
      <c r="F40" s="94"/>
      <c r="G40" s="94"/>
      <c r="H40" s="94"/>
      <c r="I40" s="94"/>
      <c r="J40" s="114">
        <f t="shared" si="3"/>
        <v>0</v>
      </c>
      <c r="K40" s="166">
        <f t="shared" si="1"/>
        <v>0</v>
      </c>
      <c r="L40" s="109">
        <v>177000</v>
      </c>
      <c r="M40" s="230">
        <v>1900100</v>
      </c>
      <c r="N40" s="46" t="s">
        <v>235</v>
      </c>
    </row>
    <row r="41" spans="1:14" ht="18" customHeight="1">
      <c r="A41" s="83" t="s">
        <v>95</v>
      </c>
      <c r="B41" s="263"/>
      <c r="C41" s="263"/>
      <c r="D41" s="263"/>
      <c r="E41" s="94"/>
      <c r="F41" s="94"/>
      <c r="G41" s="94"/>
      <c r="H41" s="94"/>
      <c r="I41" s="94"/>
      <c r="J41" s="114">
        <f t="shared" si="3"/>
        <v>0</v>
      </c>
      <c r="K41" s="166">
        <f t="shared" si="1"/>
        <v>0</v>
      </c>
      <c r="L41" s="109">
        <v>204055</v>
      </c>
      <c r="M41" s="289">
        <f>SUM(M35:M40)</f>
        <v>12421065.890000001</v>
      </c>
    </row>
    <row r="42" spans="1:14" ht="18" customHeight="1">
      <c r="A42" s="77" t="s">
        <v>96</v>
      </c>
      <c r="B42" s="263"/>
      <c r="C42" s="263"/>
      <c r="D42" s="263"/>
      <c r="E42" s="94"/>
      <c r="F42" s="94"/>
      <c r="G42" s="94"/>
      <c r="H42" s="94"/>
      <c r="I42" s="94"/>
      <c r="J42" s="114">
        <f t="shared" si="3"/>
        <v>0</v>
      </c>
      <c r="K42" s="166">
        <f t="shared" si="1"/>
        <v>0</v>
      </c>
      <c r="L42" s="109">
        <v>71070</v>
      </c>
    </row>
    <row r="43" spans="1:14" ht="18" customHeight="1">
      <c r="A43" s="84" t="s">
        <v>92</v>
      </c>
      <c r="B43" s="63"/>
      <c r="C43" s="63"/>
      <c r="D43" s="63"/>
      <c r="E43" s="94">
        <f>SUM(E22:E42)</f>
        <v>0</v>
      </c>
      <c r="F43" s="94">
        <f t="shared" ref="F43:J43" si="4">SUM(F22:F42)</f>
        <v>1331638.72</v>
      </c>
      <c r="G43" s="94">
        <f t="shared" si="4"/>
        <v>0</v>
      </c>
      <c r="H43" s="94">
        <f t="shared" si="4"/>
        <v>0</v>
      </c>
      <c r="I43" s="94">
        <f t="shared" si="4"/>
        <v>0</v>
      </c>
      <c r="J43" s="94">
        <f t="shared" si="4"/>
        <v>1331638.72</v>
      </c>
      <c r="K43" s="166">
        <f t="shared" si="1"/>
        <v>1331638.72</v>
      </c>
      <c r="L43" s="109">
        <v>27800</v>
      </c>
      <c r="M43" s="46"/>
    </row>
    <row r="44" spans="1:14" ht="18" customHeight="1">
      <c r="A44" s="84" t="s">
        <v>103</v>
      </c>
      <c r="B44" s="63"/>
      <c r="C44" s="63"/>
      <c r="D44" s="63"/>
      <c r="E44" s="103"/>
      <c r="F44" s="103"/>
      <c r="G44" s="103"/>
      <c r="H44" s="103"/>
      <c r="I44" s="103"/>
      <c r="J44" s="103"/>
      <c r="K44" s="166">
        <f t="shared" si="1"/>
        <v>0</v>
      </c>
      <c r="L44" s="109">
        <v>126865</v>
      </c>
      <c r="M44" s="109">
        <f>SUM(E44:H44)</f>
        <v>0</v>
      </c>
    </row>
    <row r="45" spans="1:14" ht="18" customHeight="1">
      <c r="A45" s="84" t="s">
        <v>104</v>
      </c>
      <c r="B45" s="63"/>
      <c r="C45" s="63"/>
      <c r="D45" s="63"/>
      <c r="E45" s="103">
        <f>SUM(E43:E44)</f>
        <v>0</v>
      </c>
      <c r="F45" s="103">
        <f t="shared" ref="F45:J45" si="5">SUM(F43:F44)</f>
        <v>1331638.72</v>
      </c>
      <c r="G45" s="103">
        <f t="shared" si="5"/>
        <v>0</v>
      </c>
      <c r="H45" s="103">
        <f t="shared" si="5"/>
        <v>0</v>
      </c>
      <c r="I45" s="103">
        <f t="shared" si="5"/>
        <v>0</v>
      </c>
      <c r="J45" s="103">
        <f t="shared" si="5"/>
        <v>1331638.72</v>
      </c>
      <c r="K45" s="166">
        <f t="shared" si="1"/>
        <v>1331638.72</v>
      </c>
      <c r="L45" s="174">
        <f>SUM(L35:L44)</f>
        <v>2309350</v>
      </c>
      <c r="M45" s="109">
        <v>10492358.970000001</v>
      </c>
    </row>
    <row r="46" spans="1:14" ht="18" customHeight="1">
      <c r="A46" s="70" t="s">
        <v>93</v>
      </c>
      <c r="B46" s="72"/>
      <c r="C46" s="72"/>
      <c r="D46" s="80"/>
      <c r="E46" s="231">
        <f t="shared" ref="E46:J46" si="6">E20-E43</f>
        <v>23711405.225000001</v>
      </c>
      <c r="F46" s="231">
        <f t="shared" si="6"/>
        <v>23467353.125000004</v>
      </c>
      <c r="G46" s="231">
        <f t="shared" si="6"/>
        <v>0</v>
      </c>
      <c r="H46" s="231">
        <f t="shared" si="6"/>
        <v>0</v>
      </c>
      <c r="I46" s="231">
        <f t="shared" si="6"/>
        <v>0</v>
      </c>
      <c r="J46" s="231">
        <f t="shared" si="6"/>
        <v>47178758.350000001</v>
      </c>
      <c r="K46" s="166">
        <f>SUM(E46:I46)</f>
        <v>47178758.350000009</v>
      </c>
      <c r="L46" s="46"/>
      <c r="M46" s="109">
        <f>M45-L45</f>
        <v>8183008.9700000007</v>
      </c>
    </row>
    <row r="47" spans="1:14" ht="18" customHeight="1">
      <c r="A47" s="55"/>
      <c r="B47" s="55"/>
      <c r="C47" s="55"/>
      <c r="D47" s="55"/>
      <c r="E47" s="55"/>
      <c r="F47" s="55"/>
      <c r="G47" s="55"/>
      <c r="H47" s="55"/>
      <c r="I47" s="55"/>
      <c r="J47" s="115" t="s">
        <v>74</v>
      </c>
      <c r="K47" s="92">
        <f>SUM(E46:F46)</f>
        <v>47178758.350000009</v>
      </c>
      <c r="M47" s="109">
        <v>0</v>
      </c>
    </row>
    <row r="48" spans="1:14">
      <c r="A48" s="55" t="s">
        <v>83</v>
      </c>
      <c r="B48" s="55"/>
      <c r="C48" s="55"/>
      <c r="D48" s="55"/>
      <c r="E48" s="55"/>
      <c r="F48" s="55"/>
      <c r="G48" s="55"/>
      <c r="H48" s="55" t="s">
        <v>29</v>
      </c>
      <c r="I48" s="55"/>
      <c r="J48" s="115"/>
      <c r="K48" s="55"/>
      <c r="L48" s="109">
        <v>752760</v>
      </c>
    </row>
    <row r="49" spans="1:13">
      <c r="A49" s="55"/>
      <c r="B49" s="55"/>
      <c r="C49" s="55"/>
      <c r="D49" s="55"/>
      <c r="E49" s="55"/>
      <c r="F49" s="55"/>
      <c r="G49" s="55"/>
      <c r="H49" s="55"/>
      <c r="I49" s="55"/>
      <c r="J49" s="115"/>
      <c r="K49" s="55"/>
      <c r="L49" s="109">
        <v>902075</v>
      </c>
    </row>
    <row r="50" spans="1:13">
      <c r="A50" s="82" t="s">
        <v>202</v>
      </c>
      <c r="B50" s="55"/>
      <c r="C50" s="55"/>
      <c r="D50" s="55"/>
      <c r="E50" s="55"/>
      <c r="F50" s="55"/>
      <c r="G50" s="55"/>
      <c r="H50" s="241" t="s">
        <v>194</v>
      </c>
      <c r="I50" s="55"/>
      <c r="J50" s="115"/>
      <c r="K50" s="55"/>
      <c r="L50" s="109">
        <v>504234.65</v>
      </c>
      <c r="M50" s="109">
        <v>8736531.7100000009</v>
      </c>
    </row>
    <row r="51" spans="1:13">
      <c r="A51" s="140" t="s">
        <v>287</v>
      </c>
      <c r="B51" s="55"/>
      <c r="C51" s="55"/>
      <c r="D51" s="55"/>
      <c r="E51" s="55"/>
      <c r="F51" s="55"/>
      <c r="G51" s="55"/>
      <c r="H51" s="140" t="s">
        <v>195</v>
      </c>
      <c r="I51" s="55"/>
      <c r="J51" s="115"/>
      <c r="K51" s="55"/>
      <c r="L51" s="109">
        <v>899145</v>
      </c>
      <c r="M51" s="109">
        <v>10140</v>
      </c>
    </row>
    <row r="52" spans="1:13">
      <c r="A52" s="55"/>
      <c r="B52" s="55"/>
      <c r="C52" s="55"/>
      <c r="D52" s="55"/>
      <c r="E52" s="121" t="s">
        <v>237</v>
      </c>
      <c r="F52" s="55"/>
      <c r="G52" s="55"/>
      <c r="H52" s="55"/>
      <c r="I52" s="55"/>
      <c r="J52" s="115"/>
      <c r="K52" s="55"/>
      <c r="L52" s="109">
        <v>1087927.3999999999</v>
      </c>
      <c r="M52" s="109">
        <f>SUM(M50:M51)</f>
        <v>8746671.7100000009</v>
      </c>
    </row>
    <row r="53" spans="1:13">
      <c r="A53" s="55"/>
      <c r="B53" s="55"/>
      <c r="C53" s="55"/>
      <c r="D53" s="55"/>
      <c r="E53" s="115"/>
      <c r="F53" s="55"/>
      <c r="G53" s="55"/>
      <c r="H53" s="55"/>
      <c r="I53" s="115"/>
      <c r="J53" s="115"/>
      <c r="K53" s="55"/>
      <c r="L53" s="109">
        <v>2896515.5</v>
      </c>
    </row>
    <row r="54" spans="1:13">
      <c r="A54" s="55"/>
      <c r="B54" s="55"/>
      <c r="C54" s="55"/>
      <c r="D54" s="55"/>
      <c r="E54" s="82" t="s">
        <v>149</v>
      </c>
      <c r="F54" s="55"/>
      <c r="G54" s="55"/>
      <c r="H54" s="55"/>
      <c r="I54" s="115"/>
      <c r="J54" s="115"/>
      <c r="K54" s="55"/>
    </row>
    <row r="55" spans="1:13">
      <c r="A55" s="55"/>
      <c r="B55" s="55"/>
      <c r="C55" s="55"/>
      <c r="D55" s="55"/>
      <c r="E55" s="55" t="s">
        <v>238</v>
      </c>
      <c r="F55" s="55"/>
      <c r="G55" s="55"/>
      <c r="H55" s="55"/>
      <c r="I55" s="115"/>
      <c r="J55" s="115"/>
      <c r="K55" s="55"/>
      <c r="L55" s="109">
        <v>120000</v>
      </c>
    </row>
    <row r="56" spans="1:13">
      <c r="I56" s="109"/>
      <c r="M56" s="46"/>
    </row>
    <row r="57" spans="1:13">
      <c r="F57" s="121"/>
      <c r="I57" s="109"/>
      <c r="K57" s="55"/>
      <c r="L57" s="115">
        <v>630000</v>
      </c>
      <c r="M57" s="183">
        <v>10644424.82</v>
      </c>
    </row>
    <row r="58" spans="1:13">
      <c r="B58" s="276" t="s">
        <v>236</v>
      </c>
      <c r="F58" s="115"/>
      <c r="I58" s="109"/>
      <c r="J58" s="109">
        <v>7850000</v>
      </c>
      <c r="L58" s="109">
        <v>1000000</v>
      </c>
      <c r="M58" s="183">
        <v>13157941.960000001</v>
      </c>
    </row>
    <row r="59" spans="1:13">
      <c r="I59" s="109"/>
      <c r="J59" s="109">
        <v>800000</v>
      </c>
      <c r="L59" s="109">
        <v>1300000</v>
      </c>
      <c r="M59" s="184">
        <v>0</v>
      </c>
    </row>
    <row r="60" spans="1:13">
      <c r="A60" s="46" t="s">
        <v>282</v>
      </c>
      <c r="B60" s="392">
        <f>1493800+99900</f>
        <v>1593700</v>
      </c>
      <c r="C60" s="392"/>
      <c r="I60" s="109"/>
      <c r="J60" s="109">
        <v>1200000</v>
      </c>
      <c r="L60" s="109">
        <v>2000000</v>
      </c>
      <c r="M60" s="183">
        <f>SUM(M57:M59)</f>
        <v>23802366.780000001</v>
      </c>
    </row>
    <row r="61" spans="1:13">
      <c r="A61" s="46" t="s">
        <v>281</v>
      </c>
      <c r="B61" s="392">
        <v>1400000</v>
      </c>
      <c r="C61" s="392"/>
      <c r="I61" s="109"/>
      <c r="J61" s="109">
        <v>3500000</v>
      </c>
      <c r="L61" s="109">
        <v>150000</v>
      </c>
      <c r="M61" s="183">
        <v>24092226.780000001</v>
      </c>
    </row>
    <row r="62" spans="1:13">
      <c r="A62" s="46" t="s">
        <v>258</v>
      </c>
      <c r="B62" s="393">
        <v>1975000</v>
      </c>
      <c r="C62" s="393"/>
      <c r="I62" s="109">
        <v>100000</v>
      </c>
      <c r="J62" s="116">
        <f>SUM(J58:J61)</f>
        <v>13350000</v>
      </c>
      <c r="L62" s="109">
        <v>4590281.96</v>
      </c>
      <c r="M62" s="183">
        <f>M61-M60</f>
        <v>289860</v>
      </c>
    </row>
    <row r="63" spans="1:13">
      <c r="A63" s="46" t="s">
        <v>283</v>
      </c>
      <c r="B63" s="387">
        <v>1214184.3500000001</v>
      </c>
      <c r="C63" s="387"/>
      <c r="I63" s="109">
        <v>4589687.1100000003</v>
      </c>
      <c r="J63" s="109">
        <v>16829861.079999998</v>
      </c>
      <c r="L63" s="109">
        <f>SUM(L57:L62)</f>
        <v>9670281.9600000009</v>
      </c>
      <c r="M63" s="46"/>
    </row>
    <row r="64" spans="1:13">
      <c r="B64" s="388">
        <f>SUM(B60:C63)</f>
        <v>6182884.3499999996</v>
      </c>
      <c r="C64" s="388"/>
      <c r="I64" s="116">
        <f>SUM(I58:I63)</f>
        <v>4689687.1100000003</v>
      </c>
      <c r="J64" s="109">
        <f>J62-J63</f>
        <v>-3479861.0799999982</v>
      </c>
      <c r="M64" s="109">
        <v>24416573.030000001</v>
      </c>
    </row>
    <row r="65" spans="1:13">
      <c r="I65" s="109">
        <v>7212797.6100000003</v>
      </c>
      <c r="M65" s="109">
        <v>24708913.030000001</v>
      </c>
    </row>
    <row r="66" spans="1:13">
      <c r="I66" s="109">
        <f>I64-I65</f>
        <v>-2523110.5</v>
      </c>
      <c r="M66" s="109">
        <f>M64-M65</f>
        <v>-292340</v>
      </c>
    </row>
    <row r="67" spans="1:13">
      <c r="I67" s="109"/>
      <c r="M67" s="109">
        <v>289860</v>
      </c>
    </row>
    <row r="68" spans="1:13">
      <c r="I68" s="109"/>
      <c r="J68" s="109">
        <v>25346381.800000001</v>
      </c>
      <c r="M68" s="173">
        <f>SUM(M66:M67)</f>
        <v>-2480</v>
      </c>
    </row>
    <row r="69" spans="1:13">
      <c r="I69" s="109"/>
      <c r="J69" s="109">
        <v>24042658.690000001</v>
      </c>
      <c r="M69" s="46"/>
    </row>
    <row r="70" spans="1:13">
      <c r="I70" s="109"/>
      <c r="J70" s="109">
        <f>J68-J69</f>
        <v>1303723.1099999994</v>
      </c>
      <c r="L70" s="109">
        <v>400000</v>
      </c>
      <c r="M70" s="46"/>
    </row>
    <row r="71" spans="1:13">
      <c r="I71" s="109"/>
      <c r="L71" s="109">
        <v>1000000</v>
      </c>
      <c r="M71" s="109">
        <v>25279.7</v>
      </c>
    </row>
    <row r="72" spans="1:13">
      <c r="I72" s="109"/>
      <c r="M72" s="109">
        <v>27759.7</v>
      </c>
    </row>
    <row r="73" spans="1:13">
      <c r="H73" s="109"/>
      <c r="I73" s="109"/>
      <c r="M73" s="173">
        <f>M71-M72</f>
        <v>-2480</v>
      </c>
    </row>
    <row r="74" spans="1:13">
      <c r="H74" s="109">
        <v>4455551.57</v>
      </c>
      <c r="I74" s="109"/>
      <c r="J74" s="109">
        <v>17496381.800000001</v>
      </c>
      <c r="M74" s="46"/>
    </row>
    <row r="75" spans="1:13">
      <c r="H75" s="109">
        <v>5760963.6399999997</v>
      </c>
      <c r="I75" s="109"/>
      <c r="J75" s="109">
        <v>7850000</v>
      </c>
      <c r="M75" s="46"/>
    </row>
    <row r="76" spans="1:13">
      <c r="H76" s="109">
        <f>SUM(H74:H75)</f>
        <v>10216515.210000001</v>
      </c>
      <c r="I76" s="109"/>
      <c r="J76" s="109">
        <f>SUM(J74:J75)</f>
        <v>25346381.800000001</v>
      </c>
      <c r="M76" s="46"/>
    </row>
    <row r="77" spans="1:13" s="109" customFormat="1">
      <c r="A77" s="46"/>
      <c r="B77" s="46"/>
      <c r="C77" s="46"/>
      <c r="D77" s="46"/>
      <c r="E77" s="46"/>
      <c r="F77" s="46"/>
      <c r="G77" s="46"/>
    </row>
    <row r="78" spans="1:13" s="109" customFormat="1">
      <c r="A78" s="46"/>
      <c r="B78" s="46"/>
      <c r="C78" s="46"/>
      <c r="D78" s="46"/>
      <c r="E78" s="46"/>
      <c r="F78" s="46"/>
      <c r="G78" s="46"/>
    </row>
    <row r="79" spans="1:13" s="109" customFormat="1">
      <c r="A79" s="46"/>
      <c r="B79" s="46"/>
      <c r="C79" s="46"/>
      <c r="D79" s="46"/>
      <c r="E79" s="46"/>
      <c r="F79" s="46"/>
      <c r="G79" s="46"/>
    </row>
    <row r="80" spans="1:13" s="109" customFormat="1">
      <c r="A80" s="46"/>
      <c r="B80" s="46"/>
      <c r="C80" s="46"/>
      <c r="D80" s="46"/>
      <c r="E80" s="46"/>
      <c r="F80" s="46"/>
      <c r="G80" s="46"/>
    </row>
    <row r="81" spans="1:11" s="109" customFormat="1">
      <c r="A81" s="46"/>
      <c r="B81" s="46"/>
      <c r="C81" s="46"/>
      <c r="D81" s="46"/>
      <c r="E81" s="46"/>
      <c r="F81" s="46"/>
      <c r="G81" s="46"/>
    </row>
    <row r="82" spans="1:11" s="109" customFormat="1">
      <c r="A82" s="46"/>
      <c r="B82" s="46"/>
      <c r="C82" s="46"/>
      <c r="D82" s="46"/>
      <c r="E82" s="46"/>
      <c r="F82" s="46"/>
      <c r="G82" s="46"/>
    </row>
    <row r="83" spans="1:11" s="109" customFormat="1">
      <c r="A83" s="46"/>
      <c r="B83" s="46"/>
      <c r="C83" s="46"/>
      <c r="D83" s="46"/>
      <c r="E83" s="46"/>
      <c r="F83" s="46"/>
      <c r="G83" s="46"/>
      <c r="H83" s="46"/>
    </row>
    <row r="84" spans="1:11" s="109" customFormat="1">
      <c r="A84" s="46"/>
      <c r="B84" s="46"/>
      <c r="C84" s="46"/>
      <c r="D84" s="46"/>
      <c r="E84" s="46"/>
      <c r="F84" s="46"/>
      <c r="G84" s="46"/>
      <c r="H84" s="46"/>
    </row>
    <row r="85" spans="1:11" s="109" customFormat="1">
      <c r="A85" s="46"/>
      <c r="B85" s="46"/>
      <c r="C85" s="46"/>
      <c r="D85" s="46"/>
      <c r="E85" s="46"/>
      <c r="F85" s="46"/>
      <c r="G85" s="46"/>
      <c r="H85" s="46"/>
    </row>
    <row r="86" spans="1:11" s="109" customFormat="1">
      <c r="A86" s="46"/>
      <c r="B86" s="46"/>
      <c r="C86" s="46"/>
      <c r="D86" s="46"/>
      <c r="E86" s="46"/>
      <c r="F86" s="46"/>
      <c r="G86" s="46"/>
      <c r="H86" s="46"/>
    </row>
    <row r="87" spans="1:11" s="109" customFormat="1">
      <c r="A87" s="46"/>
      <c r="B87" s="46"/>
      <c r="C87" s="46"/>
      <c r="D87" s="46"/>
      <c r="E87" s="46"/>
      <c r="F87" s="46"/>
      <c r="G87" s="46"/>
      <c r="H87" s="46"/>
      <c r="K87" s="46"/>
    </row>
    <row r="88" spans="1:11" s="109" customFormat="1">
      <c r="A88" s="46"/>
      <c r="B88" s="46"/>
      <c r="C88" s="46"/>
      <c r="D88" s="46"/>
      <c r="E88" s="46"/>
      <c r="F88" s="46"/>
      <c r="G88" s="46"/>
      <c r="H88" s="46"/>
      <c r="K88" s="46"/>
    </row>
    <row r="89" spans="1:11" s="109" customFormat="1">
      <c r="A89" s="46"/>
      <c r="B89" s="46"/>
      <c r="C89" s="46"/>
      <c r="D89" s="46"/>
      <c r="E89" s="46"/>
      <c r="F89" s="46"/>
      <c r="G89" s="46"/>
      <c r="H89" s="46"/>
      <c r="K89" s="46"/>
    </row>
    <row r="90" spans="1:11" s="109" customFormat="1">
      <c r="A90" s="46"/>
      <c r="B90" s="46"/>
      <c r="C90" s="46"/>
      <c r="D90" s="46"/>
      <c r="E90" s="46"/>
      <c r="F90" s="46"/>
      <c r="G90" s="46"/>
      <c r="H90" s="46"/>
      <c r="K90" s="46"/>
    </row>
    <row r="91" spans="1:11" s="109" customFormat="1">
      <c r="A91" s="46"/>
      <c r="B91" s="46"/>
      <c r="C91" s="46"/>
      <c r="D91" s="46"/>
      <c r="E91" s="46"/>
      <c r="F91" s="46"/>
      <c r="G91" s="46"/>
      <c r="H91" s="46"/>
      <c r="K91" s="46"/>
    </row>
    <row r="92" spans="1:11" s="109" customFormat="1">
      <c r="A92" s="46"/>
      <c r="B92" s="46"/>
      <c r="C92" s="46"/>
      <c r="D92" s="46"/>
      <c r="E92" s="46"/>
      <c r="F92" s="46"/>
      <c r="G92" s="46"/>
      <c r="H92" s="46"/>
      <c r="K92" s="46"/>
    </row>
    <row r="93" spans="1:11" s="109" customFormat="1">
      <c r="A93" s="46"/>
      <c r="B93" s="46"/>
      <c r="C93" s="46"/>
      <c r="D93" s="46"/>
      <c r="E93" s="46"/>
      <c r="F93" s="46"/>
      <c r="G93" s="46"/>
      <c r="H93" s="46"/>
      <c r="K93" s="46"/>
    </row>
    <row r="94" spans="1:11" s="109" customFormat="1">
      <c r="A94" s="46"/>
      <c r="B94" s="46"/>
      <c r="C94" s="46"/>
      <c r="D94" s="46"/>
      <c r="E94" s="46"/>
      <c r="F94" s="46"/>
      <c r="G94" s="46"/>
      <c r="H94" s="46"/>
      <c r="K94" s="46"/>
    </row>
    <row r="95" spans="1:11" s="109" customFormat="1">
      <c r="A95" s="46"/>
      <c r="B95" s="46"/>
      <c r="C95" s="46"/>
      <c r="D95" s="46"/>
      <c r="E95" s="46"/>
      <c r="F95" s="46"/>
      <c r="G95" s="46"/>
      <c r="H95" s="46"/>
      <c r="K95" s="46"/>
    </row>
    <row r="96" spans="1:11" s="109" customFormat="1">
      <c r="A96" s="46"/>
      <c r="B96" s="46"/>
      <c r="C96" s="46"/>
      <c r="D96" s="46"/>
      <c r="E96" s="46"/>
      <c r="F96" s="46"/>
      <c r="G96" s="46"/>
      <c r="H96" s="46"/>
      <c r="K96" s="46"/>
    </row>
    <row r="97" spans="1:11" s="109" customFormat="1">
      <c r="A97" s="46"/>
      <c r="B97" s="46"/>
      <c r="C97" s="46"/>
      <c r="D97" s="46"/>
      <c r="E97" s="46"/>
      <c r="F97" s="46"/>
      <c r="G97" s="46"/>
      <c r="H97" s="46"/>
      <c r="K97" s="46"/>
    </row>
    <row r="98" spans="1:11" s="109" customFormat="1">
      <c r="A98" s="46"/>
      <c r="B98" s="46"/>
      <c r="C98" s="46"/>
      <c r="D98" s="46"/>
      <c r="E98" s="46"/>
      <c r="F98" s="46"/>
      <c r="G98" s="46"/>
      <c r="H98" s="46"/>
      <c r="K98" s="46"/>
    </row>
    <row r="99" spans="1:11" s="109" customFormat="1">
      <c r="A99" s="46"/>
      <c r="B99" s="46"/>
      <c r="C99" s="46"/>
      <c r="D99" s="46"/>
      <c r="E99" s="46"/>
      <c r="F99" s="46"/>
      <c r="G99" s="46"/>
      <c r="H99" s="46"/>
      <c r="K99" s="46"/>
    </row>
  </sheetData>
  <mergeCells count="8">
    <mergeCell ref="B63:C63"/>
    <mergeCell ref="B64:C64"/>
    <mergeCell ref="A2:J2"/>
    <mergeCell ref="A3:J3"/>
    <mergeCell ref="A4:J4"/>
    <mergeCell ref="B60:C60"/>
    <mergeCell ref="B61:C61"/>
    <mergeCell ref="B62:C62"/>
  </mergeCells>
  <printOptions horizontalCentered="1"/>
  <pageMargins left="0.02" right="0.15" top="0.39" bottom="0.1" header="0.21" footer="0.1"/>
  <pageSetup scale="84" orientation="portrait" horizontalDpi="4294967294" verticalDpi="3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M99"/>
  <sheetViews>
    <sheetView topLeftCell="A40" workbookViewId="0">
      <selection activeCell="L59" sqref="L59"/>
    </sheetView>
  </sheetViews>
  <sheetFormatPr defaultRowHeight="12.75"/>
  <cols>
    <col min="1" max="1" width="6" style="46" customWidth="1"/>
    <col min="2" max="3" width="9.140625" style="46"/>
    <col min="4" max="4" width="16.5703125" style="46" customWidth="1"/>
    <col min="5" max="6" width="13.85546875" style="46" customWidth="1"/>
    <col min="7" max="7" width="10" style="46" customWidth="1"/>
    <col min="8" max="8" width="11.5703125" style="46" customWidth="1"/>
    <col min="9" max="9" width="11.42578125" style="46" customWidth="1"/>
    <col min="10" max="10" width="13.28515625" style="109" customWidth="1"/>
    <col min="11" max="11" width="15.7109375" style="46" customWidth="1"/>
    <col min="12" max="12" width="16.85546875" style="109" customWidth="1"/>
    <col min="13" max="13" width="17" style="109" customWidth="1"/>
    <col min="14" max="14" width="17" style="46" customWidth="1"/>
    <col min="15" max="16384" width="9.140625" style="46"/>
  </cols>
  <sheetData>
    <row r="1" spans="1:13">
      <c r="A1" s="47"/>
      <c r="B1" s="48"/>
      <c r="C1" s="48"/>
      <c r="D1" s="48"/>
      <c r="E1" s="48"/>
      <c r="F1" s="48"/>
      <c r="G1" s="48"/>
      <c r="H1" s="48"/>
      <c r="I1" s="48"/>
      <c r="J1" s="169" t="s">
        <v>81</v>
      </c>
    </row>
    <row r="2" spans="1:13">
      <c r="A2" s="389" t="s">
        <v>80</v>
      </c>
      <c r="B2" s="390"/>
      <c r="C2" s="390"/>
      <c r="D2" s="390"/>
      <c r="E2" s="390"/>
      <c r="F2" s="390"/>
      <c r="G2" s="390"/>
      <c r="H2" s="390"/>
      <c r="I2" s="390"/>
      <c r="J2" s="391"/>
    </row>
    <row r="3" spans="1:13">
      <c r="A3" s="389" t="s">
        <v>277</v>
      </c>
      <c r="B3" s="390"/>
      <c r="C3" s="390"/>
      <c r="D3" s="390"/>
      <c r="E3" s="390"/>
      <c r="F3" s="390"/>
      <c r="G3" s="390"/>
      <c r="H3" s="390"/>
      <c r="I3" s="390"/>
      <c r="J3" s="391"/>
    </row>
    <row r="4" spans="1:13">
      <c r="A4" s="389"/>
      <c r="B4" s="390"/>
      <c r="C4" s="390"/>
      <c r="D4" s="390"/>
      <c r="E4" s="390"/>
      <c r="F4" s="390"/>
      <c r="G4" s="390"/>
      <c r="H4" s="390"/>
      <c r="I4" s="390"/>
      <c r="J4" s="391"/>
    </row>
    <row r="5" spans="1:13">
      <c r="A5" s="54" t="s">
        <v>77</v>
      </c>
      <c r="B5" s="278"/>
      <c r="C5" s="278"/>
      <c r="D5" s="278"/>
      <c r="E5" s="278"/>
      <c r="F5" s="278"/>
      <c r="G5" s="278"/>
      <c r="H5" s="278"/>
      <c r="I5" s="278"/>
      <c r="J5" s="170"/>
    </row>
    <row r="6" spans="1:13">
      <c r="A6" s="54" t="s">
        <v>76</v>
      </c>
      <c r="B6" s="55"/>
      <c r="C6" s="55"/>
      <c r="D6" s="55"/>
      <c r="E6" s="55"/>
      <c r="F6" s="55"/>
      <c r="G6" s="55"/>
      <c r="H6" s="55" t="s">
        <v>278</v>
      </c>
      <c r="I6" s="55"/>
      <c r="J6" s="171"/>
      <c r="K6" s="46" t="s">
        <v>210</v>
      </c>
    </row>
    <row r="7" spans="1:13">
      <c r="A7" s="47"/>
      <c r="B7" s="48"/>
      <c r="C7" s="48"/>
      <c r="D7" s="49"/>
      <c r="E7" s="88" t="s">
        <v>8</v>
      </c>
      <c r="F7" s="50"/>
      <c r="G7" s="52"/>
      <c r="H7" s="52"/>
      <c r="I7" s="53"/>
      <c r="J7" s="110"/>
    </row>
    <row r="8" spans="1:13">
      <c r="A8" s="54"/>
      <c r="B8" s="55"/>
      <c r="C8" s="55"/>
      <c r="D8" s="56"/>
      <c r="E8" s="277" t="s">
        <v>9</v>
      </c>
      <c r="F8" s="53"/>
      <c r="G8" s="59"/>
      <c r="H8" s="59"/>
      <c r="I8" s="58"/>
      <c r="J8" s="111"/>
    </row>
    <row r="9" spans="1:13">
      <c r="A9" s="61" t="s">
        <v>68</v>
      </c>
      <c r="B9" s="55"/>
      <c r="C9" s="55"/>
      <c r="D9" s="56"/>
      <c r="E9" s="277" t="s">
        <v>10</v>
      </c>
      <c r="F9" s="60" t="s">
        <v>12</v>
      </c>
      <c r="G9" s="60" t="s">
        <v>14</v>
      </c>
      <c r="H9" s="60" t="s">
        <v>20</v>
      </c>
      <c r="I9" s="60" t="s">
        <v>22</v>
      </c>
      <c r="J9" s="112" t="s">
        <v>24</v>
      </c>
    </row>
    <row r="10" spans="1:13">
      <c r="A10" s="54"/>
      <c r="B10" s="55"/>
      <c r="C10" s="55"/>
      <c r="D10" s="56"/>
      <c r="E10" s="277" t="s">
        <v>11</v>
      </c>
      <c r="F10" s="60" t="s">
        <v>13</v>
      </c>
      <c r="G10" s="59"/>
      <c r="H10" s="60" t="s">
        <v>21</v>
      </c>
      <c r="I10" s="60" t="s">
        <v>23</v>
      </c>
      <c r="J10" s="111"/>
    </row>
    <row r="11" spans="1:13">
      <c r="A11" s="62"/>
      <c r="B11" s="63"/>
      <c r="C11" s="63"/>
      <c r="D11" s="64"/>
      <c r="E11" s="65">
        <v>0.3</v>
      </c>
      <c r="F11" s="66">
        <v>0.7</v>
      </c>
      <c r="G11" s="59"/>
      <c r="H11" s="67"/>
      <c r="I11" s="68"/>
      <c r="J11" s="113"/>
    </row>
    <row r="12" spans="1:13" ht="18" customHeight="1">
      <c r="A12" s="70" t="s">
        <v>0</v>
      </c>
      <c r="B12" s="71"/>
      <c r="C12" s="71"/>
      <c r="D12" s="72"/>
      <c r="E12" s="51"/>
      <c r="F12" s="51"/>
      <c r="G12" s="51"/>
      <c r="H12" s="51"/>
      <c r="I12" s="51"/>
      <c r="J12" s="110"/>
      <c r="L12" s="279" t="s">
        <v>90</v>
      </c>
      <c r="M12" s="279" t="s">
        <v>89</v>
      </c>
    </row>
    <row r="13" spans="1:13" ht="18" customHeight="1">
      <c r="A13" s="73" t="s">
        <v>1</v>
      </c>
      <c r="B13" s="72"/>
      <c r="C13" s="72"/>
      <c r="D13" s="72"/>
      <c r="E13" s="94">
        <f>M19*0.3</f>
        <v>1518959.1916500002</v>
      </c>
      <c r="F13" s="94">
        <f>M19*0.7</f>
        <v>3544238.1138500003</v>
      </c>
      <c r="G13" s="94"/>
      <c r="H13" s="94"/>
      <c r="I13" s="94"/>
      <c r="J13" s="114">
        <f>SUM(E13:I13)</f>
        <v>5063197.3055000007</v>
      </c>
      <c r="K13" s="175" t="e">
        <f>SUM(J13+#REF!+#REF!+#REF!+#REF!+#REF!+#REF!+#REF!+#REF!+#REF!+#REF!+#REF!)</f>
        <v>#REF!</v>
      </c>
      <c r="L13" s="109">
        <v>21367644.399999999</v>
      </c>
      <c r="M13" s="109">
        <v>4171566.4</v>
      </c>
    </row>
    <row r="14" spans="1:13" ht="18" customHeight="1">
      <c r="A14" s="73" t="s">
        <v>2</v>
      </c>
      <c r="B14" s="72"/>
      <c r="C14" s="72"/>
      <c r="D14" s="72"/>
      <c r="E14" s="102"/>
      <c r="F14" s="102"/>
      <c r="G14" s="102"/>
      <c r="H14" s="102"/>
      <c r="I14" s="102"/>
      <c r="J14" s="110">
        <f>SUM(E14:I14)</f>
        <v>0</v>
      </c>
      <c r="K14" s="117" t="s">
        <v>88</v>
      </c>
      <c r="L14" s="109">
        <v>9400000</v>
      </c>
      <c r="M14" s="109">
        <v>5637398.9699999997</v>
      </c>
    </row>
    <row r="15" spans="1:13" ht="18" customHeight="1">
      <c r="A15" s="75" t="s">
        <v>3</v>
      </c>
      <c r="B15" s="48"/>
      <c r="C15" s="48"/>
      <c r="D15" s="48"/>
      <c r="E15" s="102"/>
      <c r="F15" s="102"/>
      <c r="G15" s="102"/>
      <c r="H15" s="102"/>
      <c r="I15" s="102"/>
      <c r="J15" s="110"/>
      <c r="L15" s="116">
        <f>SUM(L13:L14)</f>
        <v>30767644.399999999</v>
      </c>
      <c r="M15" s="116">
        <f>SUM(M13:M14)</f>
        <v>9808965.3699999992</v>
      </c>
    </row>
    <row r="16" spans="1:13" ht="18" customHeight="1">
      <c r="A16" s="76" t="s">
        <v>78</v>
      </c>
      <c r="B16" s="55"/>
      <c r="C16" s="55"/>
      <c r="D16" s="55"/>
      <c r="E16" s="103"/>
      <c r="F16" s="103"/>
      <c r="G16" s="103"/>
      <c r="H16" s="103"/>
      <c r="I16" s="103"/>
      <c r="J16" s="113">
        <f>SUM(E16:I16)</f>
        <v>0</v>
      </c>
      <c r="K16" s="46">
        <v>11930281.960000001</v>
      </c>
    </row>
    <row r="17" spans="1:13" ht="18" customHeight="1">
      <c r="A17" s="77" t="s">
        <v>79</v>
      </c>
      <c r="B17" s="72"/>
      <c r="C17" s="72"/>
      <c r="D17" s="72"/>
      <c r="E17" s="94"/>
      <c r="F17" s="94"/>
      <c r="G17" s="94"/>
      <c r="H17" s="94"/>
      <c r="I17" s="94"/>
      <c r="J17" s="113">
        <f>SUM(E17:I17)</f>
        <v>0</v>
      </c>
      <c r="K17" s="173">
        <f>K16-J16</f>
        <v>11930281.960000001</v>
      </c>
      <c r="M17" s="109">
        <v>25936573.030000001</v>
      </c>
    </row>
    <row r="18" spans="1:13" ht="18" customHeight="1">
      <c r="A18" s="70" t="s">
        <v>7</v>
      </c>
      <c r="B18" s="72"/>
      <c r="C18" s="72"/>
      <c r="D18" s="72"/>
      <c r="E18" s="119">
        <f>SUM(E13:E17)</f>
        <v>1518959.1916500002</v>
      </c>
      <c r="F18" s="119">
        <f t="shared" ref="F18:J18" si="0">SUM(F13:F17)</f>
        <v>3544238.1138500003</v>
      </c>
      <c r="G18" s="119">
        <f t="shared" si="0"/>
        <v>0</v>
      </c>
      <c r="H18" s="119">
        <f t="shared" si="0"/>
        <v>0</v>
      </c>
      <c r="I18" s="119">
        <f t="shared" si="0"/>
        <v>0</v>
      </c>
      <c r="J18" s="119">
        <f t="shared" si="0"/>
        <v>5063197.3055000007</v>
      </c>
      <c r="K18" s="166">
        <f t="shared" ref="K18:K45" si="1">SUM(E18:I18)</f>
        <v>5063197.3055000007</v>
      </c>
      <c r="L18" s="193" t="s">
        <v>171</v>
      </c>
      <c r="M18" s="192">
        <f>657334795.13-556070849.02</f>
        <v>101263946.11000001</v>
      </c>
    </row>
    <row r="19" spans="1:13" s="109" customFormat="1" ht="18" customHeight="1">
      <c r="A19" s="74" t="s">
        <v>99</v>
      </c>
      <c r="B19" s="72" t="s">
        <v>100</v>
      </c>
      <c r="C19" s="72"/>
      <c r="D19" s="72"/>
      <c r="E19" s="94">
        <f>SUM('DRRM Funds Nov''2015'!E46)</f>
        <v>17611195.934449997</v>
      </c>
      <c r="F19" s="94">
        <f>SUM('DRRM Funds Nov''2015'!F46)</f>
        <v>22298965.887049995</v>
      </c>
      <c r="G19" s="94">
        <f>SUM('DRRM Funds Nov''2015'!G46)</f>
        <v>0</v>
      </c>
      <c r="H19" s="94">
        <f>SUM('DRRM Funds Nov''2015'!H46)</f>
        <v>0</v>
      </c>
      <c r="I19" s="94">
        <f>SUM('DRRM Funds Nov''2015'!I46)</f>
        <v>0</v>
      </c>
      <c r="J19" s="94">
        <f>SUM('DRRM Funds Nov''2015'!J46)</f>
        <v>39910161.821499988</v>
      </c>
      <c r="K19" s="166">
        <f t="shared" si="1"/>
        <v>39910161.821499988</v>
      </c>
      <c r="L19" s="194">
        <v>0.05</v>
      </c>
      <c r="M19" s="269">
        <f>M18*0.05</f>
        <v>5063197.3055000007</v>
      </c>
    </row>
    <row r="20" spans="1:13" s="109" customFormat="1" ht="18" customHeight="1">
      <c r="A20" s="70" t="s">
        <v>101</v>
      </c>
      <c r="B20" s="122"/>
      <c r="C20" s="72"/>
      <c r="D20" s="72"/>
      <c r="E20" s="119">
        <f>SUM(E18:E19)</f>
        <v>19130155.126099996</v>
      </c>
      <c r="F20" s="119">
        <f t="shared" ref="F20:J20" si="2">SUM(F18:F19)</f>
        <v>25843204.000899997</v>
      </c>
      <c r="G20" s="119">
        <f t="shared" si="2"/>
        <v>0</v>
      </c>
      <c r="H20" s="119">
        <f t="shared" si="2"/>
        <v>0</v>
      </c>
      <c r="I20" s="119">
        <f t="shared" si="2"/>
        <v>0</v>
      </c>
      <c r="J20" s="119">
        <f t="shared" si="2"/>
        <v>44973359.126999989</v>
      </c>
      <c r="K20" s="166">
        <f t="shared" si="1"/>
        <v>44973359.126999989</v>
      </c>
    </row>
    <row r="21" spans="1:13" ht="18" customHeight="1">
      <c r="A21" s="70" t="s">
        <v>15</v>
      </c>
      <c r="B21" s="72"/>
      <c r="C21" s="72"/>
      <c r="D21" s="72"/>
      <c r="E21" s="94"/>
      <c r="F21" s="94"/>
      <c r="G21" s="94"/>
      <c r="H21" s="94"/>
      <c r="I21" s="94"/>
      <c r="J21" s="114"/>
      <c r="K21" s="166">
        <f t="shared" si="1"/>
        <v>0</v>
      </c>
      <c r="M21" s="109">
        <v>26972032.48</v>
      </c>
    </row>
    <row r="22" spans="1:13" ht="18" customHeight="1">
      <c r="A22" s="77" t="s">
        <v>206</v>
      </c>
      <c r="B22" s="263"/>
      <c r="C22" s="263"/>
      <c r="D22" s="263"/>
      <c r="E22" s="94"/>
      <c r="F22" s="94"/>
      <c r="G22" s="94"/>
      <c r="H22" s="94"/>
      <c r="I22" s="94"/>
      <c r="J22" s="114">
        <f>SUM(E22:I22)</f>
        <v>0</v>
      </c>
      <c r="K22" s="166"/>
    </row>
    <row r="23" spans="1:13" ht="18" customHeight="1">
      <c r="A23" s="77" t="s">
        <v>251</v>
      </c>
      <c r="B23" s="263"/>
      <c r="C23" s="263"/>
      <c r="D23" s="263"/>
      <c r="E23" s="94"/>
      <c r="F23" s="94"/>
      <c r="G23" s="94"/>
      <c r="H23" s="94"/>
      <c r="I23" s="94"/>
      <c r="J23" s="114">
        <f t="shared" ref="J23:J42" si="3">SUM(E23:I23)</f>
        <v>0</v>
      </c>
      <c r="K23" s="166">
        <f t="shared" si="1"/>
        <v>0</v>
      </c>
      <c r="L23" s="176">
        <f>518731460.56*0.05</f>
        <v>25936573.028000001</v>
      </c>
      <c r="M23" s="109">
        <v>125607.13</v>
      </c>
    </row>
    <row r="24" spans="1:13" ht="18" customHeight="1">
      <c r="A24" s="272" t="s">
        <v>229</v>
      </c>
      <c r="B24" s="273"/>
      <c r="C24" s="273"/>
      <c r="D24" s="273"/>
      <c r="E24" s="94"/>
      <c r="F24" s="94">
        <v>61070</v>
      </c>
      <c r="G24" s="94"/>
      <c r="H24" s="94"/>
      <c r="I24" s="94"/>
      <c r="J24" s="275">
        <f t="shared" si="3"/>
        <v>61070</v>
      </c>
      <c r="K24" s="166"/>
      <c r="L24" s="228"/>
    </row>
    <row r="25" spans="1:13" ht="18" customHeight="1">
      <c r="A25" s="272" t="s">
        <v>252</v>
      </c>
      <c r="B25" s="273"/>
      <c r="C25" s="273"/>
      <c r="D25" s="273"/>
      <c r="E25" s="94"/>
      <c r="F25" s="94">
        <v>578185.5</v>
      </c>
      <c r="G25" s="94"/>
      <c r="H25" s="94"/>
      <c r="I25" s="94"/>
      <c r="J25" s="275">
        <f t="shared" si="3"/>
        <v>578185.5</v>
      </c>
      <c r="K25" s="166">
        <f t="shared" si="1"/>
        <v>578185.5</v>
      </c>
      <c r="L25" s="109" t="e">
        <f>L23-K13</f>
        <v>#REF!</v>
      </c>
      <c r="M25" s="109">
        <v>510000</v>
      </c>
    </row>
    <row r="26" spans="1:13" ht="18" customHeight="1">
      <c r="A26" s="272" t="s">
        <v>276</v>
      </c>
      <c r="B26" s="273"/>
      <c r="C26" s="273"/>
      <c r="D26" s="273"/>
      <c r="E26" s="94"/>
      <c r="F26" s="94">
        <v>720977.52</v>
      </c>
      <c r="G26" s="94"/>
      <c r="H26" s="94"/>
      <c r="I26" s="94"/>
      <c r="J26" s="275">
        <f t="shared" si="3"/>
        <v>720977.52</v>
      </c>
      <c r="K26" s="166">
        <f t="shared" si="1"/>
        <v>720977.52</v>
      </c>
      <c r="M26" s="109">
        <v>1430000</v>
      </c>
    </row>
    <row r="27" spans="1:13" ht="18" customHeight="1">
      <c r="A27" s="274" t="s">
        <v>275</v>
      </c>
      <c r="B27" s="273"/>
      <c r="C27" s="273"/>
      <c r="D27" s="273"/>
      <c r="E27" s="94"/>
      <c r="F27" s="94">
        <v>290200</v>
      </c>
      <c r="G27" s="94"/>
      <c r="H27" s="94"/>
      <c r="I27" s="94"/>
      <c r="J27" s="275">
        <f t="shared" si="3"/>
        <v>290200</v>
      </c>
      <c r="K27" s="166">
        <f t="shared" si="1"/>
        <v>290200</v>
      </c>
      <c r="M27" s="109">
        <v>4285413.1100000003</v>
      </c>
    </row>
    <row r="28" spans="1:13" ht="18" customHeight="1">
      <c r="A28" s="77" t="s">
        <v>274</v>
      </c>
      <c r="B28" s="263"/>
      <c r="C28" s="263"/>
      <c r="D28" s="263"/>
      <c r="E28" s="94"/>
      <c r="F28" s="94"/>
      <c r="G28" s="94"/>
      <c r="H28" s="94"/>
      <c r="I28" s="94"/>
      <c r="J28" s="114">
        <f t="shared" si="3"/>
        <v>0</v>
      </c>
      <c r="K28" s="166">
        <f t="shared" si="1"/>
        <v>0</v>
      </c>
      <c r="M28" s="109">
        <v>3777930</v>
      </c>
    </row>
    <row r="29" spans="1:13" ht="18" customHeight="1">
      <c r="A29" s="77" t="s">
        <v>227</v>
      </c>
      <c r="B29" s="263"/>
      <c r="C29" s="263"/>
      <c r="D29" s="263"/>
      <c r="E29" s="94"/>
      <c r="F29" s="94"/>
      <c r="G29" s="94"/>
      <c r="H29" s="94"/>
      <c r="I29" s="94"/>
      <c r="J29" s="114">
        <f t="shared" si="3"/>
        <v>0</v>
      </c>
      <c r="K29" s="166">
        <f t="shared" si="1"/>
        <v>0</v>
      </c>
      <c r="L29" s="279" t="s">
        <v>162</v>
      </c>
      <c r="M29" s="109">
        <v>100</v>
      </c>
    </row>
    <row r="30" spans="1:13" ht="18" customHeight="1">
      <c r="A30" s="77" t="s">
        <v>273</v>
      </c>
      <c r="B30" s="263"/>
      <c r="C30" s="263"/>
      <c r="D30" s="263"/>
      <c r="E30" s="94"/>
      <c r="F30" s="94">
        <v>15800</v>
      </c>
      <c r="G30" s="94"/>
      <c r="H30" s="94"/>
      <c r="I30" s="94"/>
      <c r="J30" s="114">
        <f t="shared" si="3"/>
        <v>15800</v>
      </c>
      <c r="K30" s="166"/>
      <c r="L30" s="279"/>
    </row>
    <row r="31" spans="1:13" ht="18" customHeight="1">
      <c r="A31" s="77" t="s">
        <v>213</v>
      </c>
      <c r="B31" s="263"/>
      <c r="C31" s="263"/>
      <c r="D31" s="263"/>
      <c r="E31" s="94"/>
      <c r="F31" s="94"/>
      <c r="G31" s="94"/>
      <c r="H31" s="94"/>
      <c r="I31" s="94"/>
      <c r="J31" s="114">
        <f t="shared" si="3"/>
        <v>0</v>
      </c>
      <c r="K31" s="166"/>
      <c r="L31" s="279"/>
      <c r="M31" s="109">
        <f>SUM(M23:M29)</f>
        <v>10129050.24</v>
      </c>
    </row>
    <row r="32" spans="1:13" ht="18" customHeight="1">
      <c r="A32" s="77" t="s">
        <v>250</v>
      </c>
      <c r="B32" s="263"/>
      <c r="C32" s="263"/>
      <c r="D32" s="263"/>
      <c r="E32" s="94"/>
      <c r="F32" s="94"/>
      <c r="G32" s="94"/>
      <c r="H32" s="94"/>
      <c r="I32" s="94"/>
      <c r="J32" s="114">
        <f t="shared" si="3"/>
        <v>0</v>
      </c>
      <c r="K32" s="166"/>
      <c r="L32" s="279"/>
    </row>
    <row r="33" spans="1:13" ht="18" customHeight="1">
      <c r="A33" s="77" t="s">
        <v>214</v>
      </c>
      <c r="B33" s="263"/>
      <c r="C33" s="263"/>
      <c r="D33" s="263"/>
      <c r="E33" s="94"/>
      <c r="F33" s="94">
        <f>345985.81+1975000</f>
        <v>2320985.81</v>
      </c>
      <c r="G33" s="94"/>
      <c r="H33" s="94"/>
      <c r="I33" s="94"/>
      <c r="J33" s="114">
        <f t="shared" si="3"/>
        <v>2320985.81</v>
      </c>
      <c r="K33" s="227"/>
      <c r="L33" s="279"/>
    </row>
    <row r="34" spans="1:13" ht="18" customHeight="1">
      <c r="A34" s="77" t="s">
        <v>249</v>
      </c>
      <c r="B34" s="263"/>
      <c r="C34" s="263"/>
      <c r="D34" s="263"/>
      <c r="E34" s="94"/>
      <c r="F34" s="94">
        <f>199014.15+1214184.35</f>
        <v>1413198.5</v>
      </c>
      <c r="G34" s="94"/>
      <c r="H34" s="94"/>
      <c r="I34" s="94"/>
      <c r="J34" s="114">
        <f t="shared" si="3"/>
        <v>1413198.5</v>
      </c>
      <c r="K34" s="265"/>
      <c r="L34" s="279"/>
    </row>
    <row r="35" spans="1:13" ht="18" customHeight="1">
      <c r="A35" s="77" t="s">
        <v>222</v>
      </c>
      <c r="B35" s="263"/>
      <c r="C35" s="263"/>
      <c r="D35" s="263"/>
      <c r="E35" s="94"/>
      <c r="F35" s="94">
        <v>866800</v>
      </c>
      <c r="G35" s="94"/>
      <c r="H35" s="94"/>
      <c r="I35" s="94"/>
      <c r="J35" s="114">
        <f t="shared" si="3"/>
        <v>866800</v>
      </c>
      <c r="K35" s="266">
        <f t="shared" si="1"/>
        <v>866800</v>
      </c>
      <c r="L35" s="109">
        <f>SUM(F29:F35)</f>
        <v>4616784.3100000005</v>
      </c>
    </row>
    <row r="36" spans="1:13" ht="18" customHeight="1">
      <c r="A36" s="77" t="s">
        <v>223</v>
      </c>
      <c r="B36" s="263"/>
      <c r="C36" s="263"/>
      <c r="D36" s="263"/>
      <c r="E36" s="94"/>
      <c r="F36" s="94"/>
      <c r="G36" s="94"/>
      <c r="H36" s="94"/>
      <c r="I36" s="94"/>
      <c r="J36" s="114">
        <f t="shared" si="3"/>
        <v>0</v>
      </c>
      <c r="K36" s="166">
        <f t="shared" si="1"/>
        <v>0</v>
      </c>
      <c r="L36" s="109">
        <v>147060</v>
      </c>
    </row>
    <row r="37" spans="1:13" ht="18" customHeight="1">
      <c r="A37" s="77" t="s">
        <v>168</v>
      </c>
      <c r="B37" s="263"/>
      <c r="C37" s="263"/>
      <c r="D37" s="263"/>
      <c r="E37" s="94"/>
      <c r="F37" s="94"/>
      <c r="G37" s="94"/>
      <c r="H37" s="94"/>
      <c r="I37" s="94"/>
      <c r="J37" s="114">
        <f t="shared" si="3"/>
        <v>0</v>
      </c>
      <c r="K37" s="166">
        <f t="shared" si="1"/>
        <v>0</v>
      </c>
    </row>
    <row r="38" spans="1:13" ht="18" customHeight="1">
      <c r="A38" s="77" t="s">
        <v>208</v>
      </c>
      <c r="B38" s="263"/>
      <c r="C38" s="263"/>
      <c r="D38" s="263"/>
      <c r="E38" s="94"/>
      <c r="F38" s="94"/>
      <c r="G38" s="94"/>
      <c r="H38" s="94"/>
      <c r="I38" s="94"/>
      <c r="J38" s="114">
        <f t="shared" si="3"/>
        <v>0</v>
      </c>
      <c r="K38" s="166">
        <f t="shared" si="1"/>
        <v>0</v>
      </c>
      <c r="L38" s="109">
        <v>1555500</v>
      </c>
    </row>
    <row r="39" spans="1:13" ht="18" customHeight="1">
      <c r="A39" s="272" t="s">
        <v>207</v>
      </c>
      <c r="B39" s="273"/>
      <c r="C39" s="273"/>
      <c r="D39" s="273"/>
      <c r="E39" s="94"/>
      <c r="F39" s="94">
        <v>179630</v>
      </c>
      <c r="G39" s="94"/>
      <c r="H39" s="94"/>
      <c r="I39" s="94"/>
      <c r="J39" s="275">
        <f t="shared" si="3"/>
        <v>179630</v>
      </c>
      <c r="K39" s="166"/>
    </row>
    <row r="40" spans="1:13" ht="18" customHeight="1">
      <c r="A40" s="83" t="s">
        <v>94</v>
      </c>
      <c r="B40" s="263"/>
      <c r="C40" s="263"/>
      <c r="D40" s="263"/>
      <c r="E40" s="94"/>
      <c r="F40" s="94"/>
      <c r="G40" s="94"/>
      <c r="H40" s="94"/>
      <c r="I40" s="94"/>
      <c r="J40" s="114">
        <f t="shared" si="3"/>
        <v>0</v>
      </c>
      <c r="K40" s="166">
        <f t="shared" si="1"/>
        <v>0</v>
      </c>
      <c r="L40" s="109">
        <v>177000</v>
      </c>
    </row>
    <row r="41" spans="1:13" ht="18" customHeight="1">
      <c r="A41" s="83" t="s">
        <v>95</v>
      </c>
      <c r="B41" s="263"/>
      <c r="C41" s="263"/>
      <c r="D41" s="263"/>
      <c r="E41" s="94"/>
      <c r="F41" s="94"/>
      <c r="G41" s="94"/>
      <c r="H41" s="94"/>
      <c r="I41" s="94"/>
      <c r="J41" s="114">
        <f t="shared" si="3"/>
        <v>0</v>
      </c>
      <c r="K41" s="166">
        <f t="shared" si="1"/>
        <v>0</v>
      </c>
      <c r="L41" s="109">
        <v>204055</v>
      </c>
    </row>
    <row r="42" spans="1:13" ht="18" customHeight="1">
      <c r="A42" s="77" t="s">
        <v>96</v>
      </c>
      <c r="B42" s="263"/>
      <c r="C42" s="263"/>
      <c r="D42" s="263"/>
      <c r="E42" s="94"/>
      <c r="F42" s="94"/>
      <c r="G42" s="94"/>
      <c r="H42" s="94"/>
      <c r="I42" s="94"/>
      <c r="J42" s="114">
        <f t="shared" si="3"/>
        <v>0</v>
      </c>
      <c r="K42" s="166">
        <f t="shared" si="1"/>
        <v>0</v>
      </c>
      <c r="L42" s="109">
        <v>71070</v>
      </c>
    </row>
    <row r="43" spans="1:13" ht="18" customHeight="1">
      <c r="A43" s="84" t="s">
        <v>92</v>
      </c>
      <c r="B43" s="63"/>
      <c r="C43" s="63"/>
      <c r="D43" s="63"/>
      <c r="E43" s="94">
        <f t="shared" ref="E43:J43" si="4">SUM(E22:E42)</f>
        <v>0</v>
      </c>
      <c r="F43" s="94">
        <f t="shared" si="4"/>
        <v>6446847.3300000001</v>
      </c>
      <c r="G43" s="94">
        <f t="shared" si="4"/>
        <v>0</v>
      </c>
      <c r="H43" s="94">
        <f t="shared" si="4"/>
        <v>0</v>
      </c>
      <c r="I43" s="94">
        <f t="shared" si="4"/>
        <v>0</v>
      </c>
      <c r="J43" s="94">
        <f t="shared" si="4"/>
        <v>6446847.3300000001</v>
      </c>
      <c r="K43" s="166">
        <f t="shared" si="1"/>
        <v>6446847.3300000001</v>
      </c>
      <c r="L43" s="109">
        <v>27800</v>
      </c>
      <c r="M43" s="46"/>
    </row>
    <row r="44" spans="1:13" ht="18" customHeight="1">
      <c r="A44" s="84" t="s">
        <v>103</v>
      </c>
      <c r="B44" s="63"/>
      <c r="C44" s="63"/>
      <c r="D44" s="63"/>
      <c r="E44" s="103">
        <f>SUM('DRRM Funds Nov''2015'!E45)</f>
        <v>0</v>
      </c>
      <c r="F44" s="103">
        <f>SUM('DRRM Funds Nov''2015'!F45)</f>
        <v>19190361.689999998</v>
      </c>
      <c r="G44" s="103">
        <f>SUM('DRRM Funds Nov''2015'!G45)</f>
        <v>0</v>
      </c>
      <c r="H44" s="103">
        <f>SUM('DRRM Funds Nov''2015'!H45)</f>
        <v>0</v>
      </c>
      <c r="I44" s="103">
        <f>SUM('DRRM Funds Nov''2015'!I45)</f>
        <v>0</v>
      </c>
      <c r="J44" s="103">
        <f>SUM('DRRM Funds Nov''2015'!J45)</f>
        <v>19190361.689999998</v>
      </c>
      <c r="K44" s="166">
        <f t="shared" si="1"/>
        <v>19190361.689999998</v>
      </c>
      <c r="L44" s="109">
        <v>126865</v>
      </c>
      <c r="M44" s="109">
        <f>SUM(E44:H44)</f>
        <v>19190361.689999998</v>
      </c>
    </row>
    <row r="45" spans="1:13" ht="18" customHeight="1">
      <c r="A45" s="84" t="s">
        <v>104</v>
      </c>
      <c r="B45" s="63"/>
      <c r="C45" s="63"/>
      <c r="D45" s="63"/>
      <c r="E45" s="103">
        <f>SUM(E43:E44)</f>
        <v>0</v>
      </c>
      <c r="F45" s="103">
        <f>SUM(F43:F44)</f>
        <v>25637209.019999996</v>
      </c>
      <c r="G45" s="103">
        <f t="shared" ref="G45:J45" si="5">SUM(G43:G44)</f>
        <v>0</v>
      </c>
      <c r="H45" s="103">
        <f t="shared" si="5"/>
        <v>0</v>
      </c>
      <c r="I45" s="103">
        <f t="shared" si="5"/>
        <v>0</v>
      </c>
      <c r="J45" s="271">
        <f t="shared" si="5"/>
        <v>25637209.019999996</v>
      </c>
      <c r="K45" s="166">
        <f t="shared" si="1"/>
        <v>25637209.019999996</v>
      </c>
      <c r="L45" s="174">
        <f>SUM(L35:L44)</f>
        <v>6926134.3100000005</v>
      </c>
      <c r="M45" s="109">
        <v>10492358.970000001</v>
      </c>
    </row>
    <row r="46" spans="1:13" ht="18" customHeight="1">
      <c r="A46" s="70" t="s">
        <v>93</v>
      </c>
      <c r="B46" s="72"/>
      <c r="C46" s="72"/>
      <c r="D46" s="80"/>
      <c r="E46" s="231">
        <f t="shared" ref="E46:J46" si="6">E20-E43</f>
        <v>19130155.126099996</v>
      </c>
      <c r="F46" s="231">
        <f t="shared" si="6"/>
        <v>19396356.670899995</v>
      </c>
      <c r="G46" s="231">
        <f t="shared" si="6"/>
        <v>0</v>
      </c>
      <c r="H46" s="231">
        <f t="shared" si="6"/>
        <v>0</v>
      </c>
      <c r="I46" s="231">
        <f t="shared" si="6"/>
        <v>0</v>
      </c>
      <c r="J46" s="231">
        <f t="shared" si="6"/>
        <v>38526511.796999991</v>
      </c>
      <c r="K46" s="166">
        <f>SUM(E46:I46)</f>
        <v>38526511.796999991</v>
      </c>
      <c r="L46" s="46"/>
      <c r="M46" s="109">
        <f>M45-L45</f>
        <v>3566224.66</v>
      </c>
    </row>
    <row r="47" spans="1:13" ht="18" customHeight="1">
      <c r="A47" s="55"/>
      <c r="B47" s="55"/>
      <c r="C47" s="55"/>
      <c r="D47" s="55"/>
      <c r="E47" s="55"/>
      <c r="F47" s="55"/>
      <c r="G47" s="55"/>
      <c r="H47" s="55"/>
      <c r="I47" s="55"/>
      <c r="J47" s="115" t="s">
        <v>74</v>
      </c>
      <c r="K47" s="92">
        <f>SUM(E46:F46)</f>
        <v>38526511.796999991</v>
      </c>
      <c r="M47" s="109">
        <v>0</v>
      </c>
    </row>
    <row r="48" spans="1:13">
      <c r="A48" s="55" t="s">
        <v>83</v>
      </c>
      <c r="B48" s="55"/>
      <c r="C48" s="55"/>
      <c r="D48" s="55"/>
      <c r="E48" s="55"/>
      <c r="F48" s="55"/>
      <c r="G48" s="55"/>
      <c r="H48" s="55" t="s">
        <v>29</v>
      </c>
      <c r="I48" s="55"/>
      <c r="J48" s="115"/>
      <c r="K48" s="55"/>
      <c r="L48" s="109">
        <v>752760</v>
      </c>
    </row>
    <row r="49" spans="1:13">
      <c r="A49" s="55"/>
      <c r="B49" s="55"/>
      <c r="C49" s="55"/>
      <c r="D49" s="55"/>
      <c r="E49" s="55"/>
      <c r="F49" s="55"/>
      <c r="G49" s="55"/>
      <c r="H49" s="55"/>
      <c r="I49" s="55"/>
      <c r="J49" s="115"/>
      <c r="K49" s="55"/>
      <c r="L49" s="109">
        <v>902075</v>
      </c>
    </row>
    <row r="50" spans="1:13">
      <c r="A50" s="82" t="s">
        <v>202</v>
      </c>
      <c r="B50" s="55"/>
      <c r="C50" s="55"/>
      <c r="D50" s="55"/>
      <c r="E50" s="55"/>
      <c r="F50" s="55"/>
      <c r="G50" s="55"/>
      <c r="H50" s="241" t="s">
        <v>194</v>
      </c>
      <c r="I50" s="55"/>
      <c r="J50" s="115"/>
      <c r="K50" s="55"/>
      <c r="L50" s="109">
        <v>504234.65</v>
      </c>
      <c r="M50" s="109">
        <v>8736531.7100000009</v>
      </c>
    </row>
    <row r="51" spans="1:13">
      <c r="A51" s="140" t="s">
        <v>203</v>
      </c>
      <c r="B51" s="55"/>
      <c r="C51" s="55"/>
      <c r="D51" s="55"/>
      <c r="E51" s="55"/>
      <c r="F51" s="55"/>
      <c r="G51" s="55"/>
      <c r="H51" s="140" t="s">
        <v>195</v>
      </c>
      <c r="I51" s="55"/>
      <c r="J51" s="115"/>
      <c r="K51" s="55"/>
      <c r="L51" s="109">
        <v>899145</v>
      </c>
      <c r="M51" s="109">
        <v>10140</v>
      </c>
    </row>
    <row r="52" spans="1:13">
      <c r="A52" s="55"/>
      <c r="B52" s="55"/>
      <c r="C52" s="55"/>
      <c r="D52" s="55"/>
      <c r="E52" s="121" t="s">
        <v>237</v>
      </c>
      <c r="F52" s="55"/>
      <c r="G52" s="55"/>
      <c r="H52" s="55"/>
      <c r="I52" s="55"/>
      <c r="J52" s="115"/>
      <c r="K52" s="55"/>
      <c r="L52" s="109">
        <v>1087927.3999999999</v>
      </c>
      <c r="M52" s="109">
        <f>SUM(M50:M51)</f>
        <v>8746671.7100000009</v>
      </c>
    </row>
    <row r="53" spans="1:13">
      <c r="A53" s="55"/>
      <c r="B53" s="55"/>
      <c r="C53" s="55"/>
      <c r="D53" s="55"/>
      <c r="E53" s="115"/>
      <c r="F53" s="55"/>
      <c r="G53" s="55"/>
      <c r="H53" s="55"/>
      <c r="I53" s="115"/>
      <c r="J53" s="115"/>
      <c r="K53" s="55"/>
      <c r="L53" s="109">
        <v>2896515.5</v>
      </c>
    </row>
    <row r="54" spans="1:13">
      <c r="A54" s="55"/>
      <c r="B54" s="55"/>
      <c r="C54" s="55"/>
      <c r="D54" s="55"/>
      <c r="E54" s="82" t="s">
        <v>149</v>
      </c>
      <c r="F54" s="55"/>
      <c r="G54" s="55"/>
      <c r="H54" s="55"/>
      <c r="I54" s="115"/>
      <c r="J54" s="115"/>
      <c r="K54" s="55"/>
    </row>
    <row r="55" spans="1:13">
      <c r="A55" s="55"/>
      <c r="B55" s="55"/>
      <c r="C55" s="55"/>
      <c r="D55" s="55"/>
      <c r="E55" s="55" t="s">
        <v>238</v>
      </c>
      <c r="F55" s="55"/>
      <c r="G55" s="55"/>
      <c r="H55" s="55"/>
      <c r="I55" s="115"/>
      <c r="J55" s="115"/>
      <c r="K55" s="55"/>
      <c r="L55" s="109">
        <v>120000</v>
      </c>
    </row>
    <row r="56" spans="1:13">
      <c r="I56" s="109"/>
      <c r="M56" s="46"/>
    </row>
    <row r="57" spans="1:13">
      <c r="F57" s="121"/>
      <c r="I57" s="109"/>
      <c r="K57" s="55"/>
      <c r="L57" s="115">
        <v>630000</v>
      </c>
      <c r="M57" s="183">
        <v>10644424.82</v>
      </c>
    </row>
    <row r="58" spans="1:13">
      <c r="B58" s="276" t="s">
        <v>236</v>
      </c>
      <c r="F58" s="115"/>
      <c r="I58" s="109"/>
      <c r="J58" s="109">
        <v>7850000</v>
      </c>
      <c r="L58" s="109">
        <v>1000000</v>
      </c>
      <c r="M58" s="183">
        <v>13157941.960000001</v>
      </c>
    </row>
    <row r="59" spans="1:13">
      <c r="I59" s="109"/>
      <c r="J59" s="109">
        <v>800000</v>
      </c>
      <c r="L59" s="109">
        <v>1300000</v>
      </c>
      <c r="M59" s="184">
        <v>0</v>
      </c>
    </row>
    <row r="60" spans="1:13">
      <c r="A60" s="46" t="s">
        <v>282</v>
      </c>
      <c r="B60" s="392">
        <f>1493800+99900</f>
        <v>1593700</v>
      </c>
      <c r="C60" s="392"/>
      <c r="I60" s="109"/>
      <c r="J60" s="109">
        <v>1200000</v>
      </c>
      <c r="L60" s="109">
        <v>2000000</v>
      </c>
      <c r="M60" s="183">
        <f>SUM(M57:M59)</f>
        <v>23802366.780000001</v>
      </c>
    </row>
    <row r="61" spans="1:13">
      <c r="A61" s="46" t="s">
        <v>281</v>
      </c>
      <c r="B61" s="392">
        <v>1400000</v>
      </c>
      <c r="C61" s="392"/>
      <c r="I61" s="109"/>
      <c r="J61" s="109">
        <v>3500000</v>
      </c>
      <c r="L61" s="109">
        <v>150000</v>
      </c>
      <c r="M61" s="183">
        <v>24092226.780000001</v>
      </c>
    </row>
    <row r="62" spans="1:13">
      <c r="A62" s="46" t="s">
        <v>258</v>
      </c>
      <c r="B62" s="393">
        <v>1975000</v>
      </c>
      <c r="C62" s="393"/>
      <c r="I62" s="109">
        <v>100000</v>
      </c>
      <c r="J62" s="116">
        <f>SUM(J58:J61)</f>
        <v>13350000</v>
      </c>
      <c r="L62" s="109">
        <v>4590281.96</v>
      </c>
      <c r="M62" s="183">
        <f>M61-M60</f>
        <v>289860</v>
      </c>
    </row>
    <row r="63" spans="1:13">
      <c r="A63" s="46" t="s">
        <v>283</v>
      </c>
      <c r="B63" s="387">
        <v>1214184.3500000001</v>
      </c>
      <c r="C63" s="387"/>
      <c r="I63" s="109">
        <v>4589687.1100000003</v>
      </c>
      <c r="J63" s="109">
        <v>16829861.079999998</v>
      </c>
      <c r="L63" s="109">
        <f>SUM(L57:L62)</f>
        <v>9670281.9600000009</v>
      </c>
      <c r="M63" s="46"/>
    </row>
    <row r="64" spans="1:13">
      <c r="B64" s="388">
        <f>SUM(B60:C63)</f>
        <v>6182884.3499999996</v>
      </c>
      <c r="C64" s="388"/>
      <c r="I64" s="116">
        <f>SUM(I58:I63)</f>
        <v>4689687.1100000003</v>
      </c>
      <c r="J64" s="109">
        <f>J62-J63</f>
        <v>-3479861.0799999982</v>
      </c>
      <c r="M64" s="109">
        <v>24416573.030000001</v>
      </c>
    </row>
    <row r="65" spans="1:13">
      <c r="I65" s="109">
        <v>7212797.6100000003</v>
      </c>
      <c r="M65" s="109">
        <v>24708913.030000001</v>
      </c>
    </row>
    <row r="66" spans="1:13">
      <c r="I66" s="109">
        <f>I64-I65</f>
        <v>-2523110.5</v>
      </c>
      <c r="M66" s="109">
        <f>M64-M65</f>
        <v>-292340</v>
      </c>
    </row>
    <row r="67" spans="1:13">
      <c r="I67" s="109"/>
      <c r="M67" s="109">
        <v>289860</v>
      </c>
    </row>
    <row r="68" spans="1:13">
      <c r="I68" s="109"/>
      <c r="J68" s="109">
        <v>25346381.800000001</v>
      </c>
      <c r="M68" s="173">
        <f>SUM(M66:M67)</f>
        <v>-2480</v>
      </c>
    </row>
    <row r="69" spans="1:13">
      <c r="I69" s="109"/>
      <c r="J69" s="109">
        <v>24042658.690000001</v>
      </c>
      <c r="M69" s="46"/>
    </row>
    <row r="70" spans="1:13">
      <c r="I70" s="109"/>
      <c r="J70" s="109">
        <f>J68-J69</f>
        <v>1303723.1099999994</v>
      </c>
      <c r="L70" s="109">
        <v>400000</v>
      </c>
      <c r="M70" s="46"/>
    </row>
    <row r="71" spans="1:13">
      <c r="I71" s="109"/>
      <c r="L71" s="109">
        <v>1000000</v>
      </c>
      <c r="M71" s="109">
        <v>25279.7</v>
      </c>
    </row>
    <row r="72" spans="1:13">
      <c r="I72" s="109"/>
      <c r="M72" s="109">
        <v>27759.7</v>
      </c>
    </row>
    <row r="73" spans="1:13">
      <c r="H73" s="109"/>
      <c r="I73" s="109"/>
      <c r="M73" s="173">
        <f>M71-M72</f>
        <v>-2480</v>
      </c>
    </row>
    <row r="74" spans="1:13">
      <c r="H74" s="109">
        <v>4455551.57</v>
      </c>
      <c r="I74" s="109"/>
      <c r="J74" s="109">
        <v>17496381.800000001</v>
      </c>
      <c r="M74" s="46"/>
    </row>
    <row r="75" spans="1:13">
      <c r="H75" s="109">
        <v>5760963.6399999997</v>
      </c>
      <c r="I75" s="109"/>
      <c r="J75" s="109">
        <v>7850000</v>
      </c>
      <c r="M75" s="46"/>
    </row>
    <row r="76" spans="1:13">
      <c r="H76" s="109">
        <f>SUM(H74:H75)</f>
        <v>10216515.210000001</v>
      </c>
      <c r="I76" s="109"/>
      <c r="J76" s="109">
        <f>SUM(J74:J75)</f>
        <v>25346381.800000001</v>
      </c>
      <c r="M76" s="46"/>
    </row>
    <row r="77" spans="1:13" s="109" customFormat="1">
      <c r="A77" s="46"/>
      <c r="B77" s="46"/>
      <c r="C77" s="46"/>
      <c r="D77" s="46"/>
      <c r="E77" s="46"/>
      <c r="F77" s="46"/>
      <c r="G77" s="46"/>
    </row>
    <row r="78" spans="1:13" s="109" customFormat="1">
      <c r="A78" s="46"/>
      <c r="B78" s="46"/>
      <c r="C78" s="46"/>
      <c r="D78" s="46"/>
      <c r="E78" s="46"/>
      <c r="F78" s="46"/>
      <c r="G78" s="46"/>
    </row>
    <row r="79" spans="1:13" s="109" customFormat="1">
      <c r="A79" s="46"/>
      <c r="B79" s="46"/>
      <c r="C79" s="46"/>
      <c r="D79" s="46"/>
      <c r="E79" s="46"/>
      <c r="F79" s="46"/>
      <c r="G79" s="46"/>
    </row>
    <row r="80" spans="1:13" s="109" customFormat="1">
      <c r="A80" s="46"/>
      <c r="B80" s="46"/>
      <c r="C80" s="46"/>
      <c r="D80" s="46"/>
      <c r="E80" s="46"/>
      <c r="F80" s="46"/>
      <c r="G80" s="46"/>
    </row>
    <row r="81" spans="1:11" s="109" customFormat="1">
      <c r="A81" s="46"/>
      <c r="B81" s="46"/>
      <c r="C81" s="46"/>
      <c r="D81" s="46"/>
      <c r="E81" s="46"/>
      <c r="F81" s="46"/>
      <c r="G81" s="46"/>
    </row>
    <row r="82" spans="1:11" s="109" customFormat="1">
      <c r="A82" s="46"/>
      <c r="B82" s="46"/>
      <c r="C82" s="46"/>
      <c r="D82" s="46"/>
      <c r="E82" s="46"/>
      <c r="F82" s="46"/>
      <c r="G82" s="46"/>
    </row>
    <row r="83" spans="1:11" s="109" customFormat="1">
      <c r="A83" s="46"/>
      <c r="B83" s="46"/>
      <c r="C83" s="46"/>
      <c r="D83" s="46"/>
      <c r="E83" s="46"/>
      <c r="F83" s="46"/>
      <c r="G83" s="46"/>
      <c r="H83" s="46"/>
    </row>
    <row r="84" spans="1:11" s="109" customFormat="1">
      <c r="A84" s="46"/>
      <c r="B84" s="46"/>
      <c r="C84" s="46"/>
      <c r="D84" s="46"/>
      <c r="E84" s="46"/>
      <c r="F84" s="46"/>
      <c r="G84" s="46"/>
      <c r="H84" s="46"/>
    </row>
    <row r="85" spans="1:11" s="109" customFormat="1">
      <c r="A85" s="46"/>
      <c r="B85" s="46"/>
      <c r="C85" s="46"/>
      <c r="D85" s="46"/>
      <c r="E85" s="46"/>
      <c r="F85" s="46"/>
      <c r="G85" s="46"/>
      <c r="H85" s="46"/>
    </row>
    <row r="86" spans="1:11" s="109" customFormat="1">
      <c r="A86" s="46"/>
      <c r="B86" s="46"/>
      <c r="C86" s="46"/>
      <c r="D86" s="46"/>
      <c r="E86" s="46"/>
      <c r="F86" s="46"/>
      <c r="G86" s="46"/>
      <c r="H86" s="46"/>
    </row>
    <row r="87" spans="1:11" s="109" customFormat="1">
      <c r="A87" s="46"/>
      <c r="B87" s="46"/>
      <c r="C87" s="46"/>
      <c r="D87" s="46"/>
      <c r="E87" s="46"/>
      <c r="F87" s="46"/>
      <c r="G87" s="46"/>
      <c r="H87" s="46"/>
      <c r="K87" s="46"/>
    </row>
    <row r="88" spans="1:11" s="109" customFormat="1">
      <c r="A88" s="46"/>
      <c r="B88" s="46"/>
      <c r="C88" s="46"/>
      <c r="D88" s="46"/>
      <c r="E88" s="46"/>
      <c r="F88" s="46"/>
      <c r="G88" s="46"/>
      <c r="H88" s="46"/>
      <c r="K88" s="46"/>
    </row>
    <row r="89" spans="1:11" s="109" customFormat="1">
      <c r="A89" s="46"/>
      <c r="B89" s="46"/>
      <c r="C89" s="46"/>
      <c r="D89" s="46"/>
      <c r="E89" s="46"/>
      <c r="F89" s="46"/>
      <c r="G89" s="46"/>
      <c r="H89" s="46"/>
      <c r="K89" s="46"/>
    </row>
    <row r="90" spans="1:11" s="109" customFormat="1">
      <c r="A90" s="46"/>
      <c r="B90" s="46"/>
      <c r="C90" s="46"/>
      <c r="D90" s="46"/>
      <c r="E90" s="46"/>
      <c r="F90" s="46"/>
      <c r="G90" s="46"/>
      <c r="H90" s="46"/>
      <c r="K90" s="46"/>
    </row>
    <row r="91" spans="1:11" s="109" customFormat="1">
      <c r="A91" s="46"/>
      <c r="B91" s="46"/>
      <c r="C91" s="46"/>
      <c r="D91" s="46"/>
      <c r="E91" s="46"/>
      <c r="F91" s="46"/>
      <c r="G91" s="46"/>
      <c r="H91" s="46"/>
      <c r="K91" s="46"/>
    </row>
    <row r="92" spans="1:11" s="109" customFormat="1">
      <c r="A92" s="46"/>
      <c r="B92" s="46"/>
      <c r="C92" s="46"/>
      <c r="D92" s="46"/>
      <c r="E92" s="46"/>
      <c r="F92" s="46"/>
      <c r="G92" s="46"/>
      <c r="H92" s="46"/>
      <c r="K92" s="46"/>
    </row>
    <row r="93" spans="1:11" s="109" customFormat="1">
      <c r="A93" s="46"/>
      <c r="B93" s="46"/>
      <c r="C93" s="46"/>
      <c r="D93" s="46"/>
      <c r="E93" s="46"/>
      <c r="F93" s="46"/>
      <c r="G93" s="46"/>
      <c r="H93" s="46"/>
      <c r="K93" s="46"/>
    </row>
    <row r="94" spans="1:11" s="109" customFormat="1">
      <c r="A94" s="46"/>
      <c r="B94" s="46"/>
      <c r="C94" s="46"/>
      <c r="D94" s="46"/>
      <c r="E94" s="46"/>
      <c r="F94" s="46"/>
      <c r="G94" s="46"/>
      <c r="H94" s="46"/>
      <c r="K94" s="46"/>
    </row>
    <row r="95" spans="1:11" s="109" customFormat="1">
      <c r="A95" s="46"/>
      <c r="B95" s="46"/>
      <c r="C95" s="46"/>
      <c r="D95" s="46"/>
      <c r="E95" s="46"/>
      <c r="F95" s="46"/>
      <c r="G95" s="46"/>
      <c r="H95" s="46"/>
      <c r="K95" s="46"/>
    </row>
    <row r="96" spans="1:11" s="109" customFormat="1">
      <c r="A96" s="46"/>
      <c r="B96" s="46"/>
      <c r="C96" s="46"/>
      <c r="D96" s="46"/>
      <c r="E96" s="46"/>
      <c r="F96" s="46"/>
      <c r="G96" s="46"/>
      <c r="H96" s="46"/>
      <c r="K96" s="46"/>
    </row>
    <row r="97" spans="1:11" s="109" customFormat="1">
      <c r="A97" s="46"/>
      <c r="B97" s="46"/>
      <c r="C97" s="46"/>
      <c r="D97" s="46"/>
      <c r="E97" s="46"/>
      <c r="F97" s="46"/>
      <c r="G97" s="46"/>
      <c r="H97" s="46"/>
      <c r="K97" s="46"/>
    </row>
    <row r="98" spans="1:11" s="109" customFormat="1">
      <c r="A98" s="46"/>
      <c r="B98" s="46"/>
      <c r="C98" s="46"/>
      <c r="D98" s="46"/>
      <c r="E98" s="46"/>
      <c r="F98" s="46"/>
      <c r="G98" s="46"/>
      <c r="H98" s="46"/>
      <c r="K98" s="46"/>
    </row>
    <row r="99" spans="1:11" s="109" customFormat="1">
      <c r="A99" s="46"/>
      <c r="B99" s="46"/>
      <c r="C99" s="46"/>
      <c r="D99" s="46"/>
      <c r="E99" s="46"/>
      <c r="F99" s="46"/>
      <c r="G99" s="46"/>
      <c r="H99" s="46"/>
      <c r="K99" s="46"/>
    </row>
  </sheetData>
  <mergeCells count="8">
    <mergeCell ref="B63:C63"/>
    <mergeCell ref="B64:C64"/>
    <mergeCell ref="A2:J2"/>
    <mergeCell ref="A3:J3"/>
    <mergeCell ref="A4:J4"/>
    <mergeCell ref="B60:C60"/>
    <mergeCell ref="B61:C61"/>
    <mergeCell ref="B62:C62"/>
  </mergeCells>
  <printOptions horizontalCentered="1"/>
  <pageMargins left="0.02" right="0.15" top="0.39" bottom="0.1" header="0.21" footer="0.1"/>
  <pageSetup scale="84" orientation="portrait" horizontalDpi="4294967294" verticalDpi="30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M99"/>
  <sheetViews>
    <sheetView workbookViewId="0">
      <selection activeCell="E19" sqref="E19"/>
    </sheetView>
  </sheetViews>
  <sheetFormatPr defaultRowHeight="12.75"/>
  <cols>
    <col min="1" max="1" width="6" style="46" customWidth="1"/>
    <col min="2" max="3" width="9.140625" style="46"/>
    <col min="4" max="4" width="16.5703125" style="46" customWidth="1"/>
    <col min="5" max="6" width="13.85546875" style="46" customWidth="1"/>
    <col min="7" max="7" width="10" style="46" customWidth="1"/>
    <col min="8" max="8" width="11.5703125" style="46" customWidth="1"/>
    <col min="9" max="9" width="11.42578125" style="46" customWidth="1"/>
    <col min="10" max="10" width="13.28515625" style="109" customWidth="1"/>
    <col min="11" max="11" width="15.7109375" style="46" customWidth="1"/>
    <col min="12" max="12" width="16.85546875" style="109" customWidth="1"/>
    <col min="13" max="13" width="17" style="109" customWidth="1"/>
    <col min="14" max="14" width="17" style="46" customWidth="1"/>
    <col min="15" max="16384" width="9.140625" style="46"/>
  </cols>
  <sheetData>
    <row r="1" spans="1:13">
      <c r="A1" s="47"/>
      <c r="B1" s="48"/>
      <c r="C1" s="48"/>
      <c r="D1" s="48"/>
      <c r="E1" s="48"/>
      <c r="F1" s="48"/>
      <c r="G1" s="48"/>
      <c r="H1" s="48"/>
      <c r="I1" s="48"/>
      <c r="J1" s="169" t="s">
        <v>81</v>
      </c>
    </row>
    <row r="2" spans="1:13">
      <c r="A2" s="389" t="s">
        <v>80</v>
      </c>
      <c r="B2" s="390"/>
      <c r="C2" s="390"/>
      <c r="D2" s="390"/>
      <c r="E2" s="390"/>
      <c r="F2" s="390"/>
      <c r="G2" s="390"/>
      <c r="H2" s="390"/>
      <c r="I2" s="390"/>
      <c r="J2" s="391"/>
    </row>
    <row r="3" spans="1:13">
      <c r="A3" s="389" t="s">
        <v>279</v>
      </c>
      <c r="B3" s="390"/>
      <c r="C3" s="390"/>
      <c r="D3" s="390"/>
      <c r="E3" s="390"/>
      <c r="F3" s="390"/>
      <c r="G3" s="390"/>
      <c r="H3" s="390"/>
      <c r="I3" s="390"/>
      <c r="J3" s="391"/>
    </row>
    <row r="4" spans="1:13">
      <c r="A4" s="389"/>
      <c r="B4" s="390"/>
      <c r="C4" s="390"/>
      <c r="D4" s="390"/>
      <c r="E4" s="390"/>
      <c r="F4" s="390"/>
      <c r="G4" s="390"/>
      <c r="H4" s="390"/>
      <c r="I4" s="390"/>
      <c r="J4" s="391"/>
    </row>
    <row r="5" spans="1:13">
      <c r="A5" s="54" t="s">
        <v>77</v>
      </c>
      <c r="B5" s="268"/>
      <c r="C5" s="268"/>
      <c r="D5" s="268"/>
      <c r="E5" s="268"/>
      <c r="F5" s="268"/>
      <c r="G5" s="268"/>
      <c r="H5" s="268"/>
      <c r="I5" s="268"/>
      <c r="J5" s="170"/>
    </row>
    <row r="6" spans="1:13">
      <c r="A6" s="54" t="s">
        <v>76</v>
      </c>
      <c r="B6" s="55"/>
      <c r="C6" s="55"/>
      <c r="D6" s="55"/>
      <c r="E6" s="55"/>
      <c r="F6" s="55"/>
      <c r="G6" s="55"/>
      <c r="H6" s="55" t="s">
        <v>278</v>
      </c>
      <c r="I6" s="55"/>
      <c r="J6" s="171"/>
      <c r="K6" s="46" t="s">
        <v>210</v>
      </c>
    </row>
    <row r="7" spans="1:13">
      <c r="A7" s="47"/>
      <c r="B7" s="48"/>
      <c r="C7" s="48"/>
      <c r="D7" s="49"/>
      <c r="E7" s="88" t="s">
        <v>8</v>
      </c>
      <c r="F7" s="50"/>
      <c r="G7" s="52"/>
      <c r="H7" s="52"/>
      <c r="I7" s="53"/>
      <c r="J7" s="110"/>
    </row>
    <row r="8" spans="1:13">
      <c r="A8" s="54"/>
      <c r="B8" s="55"/>
      <c r="C8" s="55"/>
      <c r="D8" s="56"/>
      <c r="E8" s="267" t="s">
        <v>9</v>
      </c>
      <c r="F8" s="53"/>
      <c r="G8" s="59"/>
      <c r="H8" s="59"/>
      <c r="I8" s="58"/>
      <c r="J8" s="111"/>
    </row>
    <row r="9" spans="1:13">
      <c r="A9" s="61" t="s">
        <v>68</v>
      </c>
      <c r="B9" s="55"/>
      <c r="C9" s="55"/>
      <c r="D9" s="56"/>
      <c r="E9" s="267" t="s">
        <v>10</v>
      </c>
      <c r="F9" s="60" t="s">
        <v>12</v>
      </c>
      <c r="G9" s="60" t="s">
        <v>14</v>
      </c>
      <c r="H9" s="60" t="s">
        <v>20</v>
      </c>
      <c r="I9" s="60" t="s">
        <v>22</v>
      </c>
      <c r="J9" s="112" t="s">
        <v>24</v>
      </c>
    </row>
    <row r="10" spans="1:13">
      <c r="A10" s="54"/>
      <c r="B10" s="55"/>
      <c r="C10" s="55"/>
      <c r="D10" s="56"/>
      <c r="E10" s="267" t="s">
        <v>11</v>
      </c>
      <c r="F10" s="60" t="s">
        <v>13</v>
      </c>
      <c r="G10" s="59"/>
      <c r="H10" s="60" t="s">
        <v>21</v>
      </c>
      <c r="I10" s="60" t="s">
        <v>23</v>
      </c>
      <c r="J10" s="111"/>
    </row>
    <row r="11" spans="1:13">
      <c r="A11" s="62"/>
      <c r="B11" s="63"/>
      <c r="C11" s="63"/>
      <c r="D11" s="64"/>
      <c r="E11" s="65">
        <v>0.3</v>
      </c>
      <c r="F11" s="66">
        <v>0.7</v>
      </c>
      <c r="G11" s="59"/>
      <c r="H11" s="67"/>
      <c r="I11" s="68"/>
      <c r="J11" s="113"/>
    </row>
    <row r="12" spans="1:13" ht="18" customHeight="1">
      <c r="A12" s="70" t="s">
        <v>0</v>
      </c>
      <c r="B12" s="71"/>
      <c r="C12" s="71"/>
      <c r="D12" s="72"/>
      <c r="E12" s="51"/>
      <c r="F12" s="51"/>
      <c r="G12" s="51"/>
      <c r="H12" s="51"/>
      <c r="I12" s="51"/>
      <c r="J12" s="110"/>
      <c r="L12" s="118" t="s">
        <v>90</v>
      </c>
      <c r="M12" s="118" t="s">
        <v>89</v>
      </c>
    </row>
    <row r="13" spans="1:13" ht="18" customHeight="1">
      <c r="A13" s="73" t="s">
        <v>1</v>
      </c>
      <c r="B13" s="72"/>
      <c r="C13" s="72"/>
      <c r="D13" s="72"/>
      <c r="E13" s="94">
        <f>M19*0.3</f>
        <v>1518959.1916500002</v>
      </c>
      <c r="F13" s="94">
        <f>M19*0.7</f>
        <v>3544238.1138500003</v>
      </c>
      <c r="G13" s="94"/>
      <c r="H13" s="94"/>
      <c r="I13" s="94"/>
      <c r="J13" s="114">
        <f>SUM(E13:I13)</f>
        <v>5063197.3055000007</v>
      </c>
      <c r="K13" s="175" t="e">
        <f>SUM(J13+#REF!+#REF!+#REF!+#REF!+#REF!+#REF!+#REF!+#REF!+#REF!+#REF!+#REF!)</f>
        <v>#REF!</v>
      </c>
      <c r="L13" s="109">
        <v>21367644.399999999</v>
      </c>
      <c r="M13" s="109">
        <v>4171566.4</v>
      </c>
    </row>
    <row r="14" spans="1:13" ht="18" customHeight="1">
      <c r="A14" s="73" t="s">
        <v>2</v>
      </c>
      <c r="B14" s="72"/>
      <c r="C14" s="72"/>
      <c r="D14" s="72"/>
      <c r="E14" s="102"/>
      <c r="F14" s="102"/>
      <c r="G14" s="102"/>
      <c r="H14" s="102"/>
      <c r="I14" s="102"/>
      <c r="J14" s="110">
        <f>SUM(E14:I14)</f>
        <v>0</v>
      </c>
      <c r="K14" s="117" t="s">
        <v>88</v>
      </c>
      <c r="L14" s="109">
        <v>9400000</v>
      </c>
      <c r="M14" s="109">
        <v>5637398.9699999997</v>
      </c>
    </row>
    <row r="15" spans="1:13" ht="18" customHeight="1">
      <c r="A15" s="75" t="s">
        <v>3</v>
      </c>
      <c r="B15" s="48"/>
      <c r="C15" s="48"/>
      <c r="D15" s="48"/>
      <c r="E15" s="102"/>
      <c r="F15" s="102"/>
      <c r="G15" s="102"/>
      <c r="H15" s="102"/>
      <c r="I15" s="102"/>
      <c r="J15" s="110"/>
      <c r="L15" s="116">
        <f>SUM(L13:L14)</f>
        <v>30767644.399999999</v>
      </c>
      <c r="M15" s="116">
        <f>SUM(M13:M14)</f>
        <v>9808965.3699999992</v>
      </c>
    </row>
    <row r="16" spans="1:13" ht="18" customHeight="1">
      <c r="A16" s="76" t="s">
        <v>78</v>
      </c>
      <c r="B16" s="55"/>
      <c r="C16" s="55"/>
      <c r="D16" s="55"/>
      <c r="E16" s="103"/>
      <c r="F16" s="103"/>
      <c r="G16" s="103"/>
      <c r="H16" s="103"/>
      <c r="I16" s="103"/>
      <c r="J16" s="113">
        <f>SUM(E16:I16)</f>
        <v>0</v>
      </c>
      <c r="K16" s="46">
        <v>11930281.960000001</v>
      </c>
    </row>
    <row r="17" spans="1:13" ht="18" customHeight="1">
      <c r="A17" s="77" t="s">
        <v>79</v>
      </c>
      <c r="B17" s="72"/>
      <c r="C17" s="72"/>
      <c r="D17" s="72"/>
      <c r="E17" s="94"/>
      <c r="F17" s="94"/>
      <c r="G17" s="94"/>
      <c r="H17" s="94"/>
      <c r="I17" s="94"/>
      <c r="J17" s="113">
        <f>SUM(E17:I17)</f>
        <v>0</v>
      </c>
      <c r="K17" s="173">
        <f>K16-J16</f>
        <v>11930281.960000001</v>
      </c>
      <c r="M17" s="109">
        <v>25936573.030000001</v>
      </c>
    </row>
    <row r="18" spans="1:13" ht="18" customHeight="1">
      <c r="A18" s="70" t="s">
        <v>7</v>
      </c>
      <c r="B18" s="72"/>
      <c r="C18" s="72"/>
      <c r="D18" s="72"/>
      <c r="E18" s="119">
        <f>SUM(E13:E17)</f>
        <v>1518959.1916500002</v>
      </c>
      <c r="F18" s="119">
        <f t="shared" ref="F18:J18" si="0">SUM(F13:F17)</f>
        <v>3544238.1138500003</v>
      </c>
      <c r="G18" s="119">
        <f t="shared" si="0"/>
        <v>0</v>
      </c>
      <c r="H18" s="119">
        <f t="shared" si="0"/>
        <v>0</v>
      </c>
      <c r="I18" s="119">
        <f t="shared" si="0"/>
        <v>0</v>
      </c>
      <c r="J18" s="119">
        <f t="shared" si="0"/>
        <v>5063197.3055000007</v>
      </c>
      <c r="K18" s="166">
        <f t="shared" ref="K18:K45" si="1">SUM(E18:I18)</f>
        <v>5063197.3055000007</v>
      </c>
      <c r="L18" s="193" t="s">
        <v>171</v>
      </c>
      <c r="M18" s="192">
        <f>657334795.13-556070849.02</f>
        <v>101263946.11000001</v>
      </c>
    </row>
    <row r="19" spans="1:13" s="109" customFormat="1" ht="18" customHeight="1">
      <c r="A19" s="74" t="s">
        <v>99</v>
      </c>
      <c r="B19" s="72" t="s">
        <v>100</v>
      </c>
      <c r="C19" s="72"/>
      <c r="D19" s="72"/>
      <c r="E19" s="94">
        <f>SUM('DRRM Funds Nov''2015'!E46)</f>
        <v>17611195.934449997</v>
      </c>
      <c r="F19" s="94">
        <f>SUM('DRRM Funds Nov''2015'!F46)</f>
        <v>22298965.887049995</v>
      </c>
      <c r="G19" s="94">
        <f>SUM('DRRM Funds Nov''2015'!G46)</f>
        <v>0</v>
      </c>
      <c r="H19" s="94">
        <f>SUM('DRRM Funds Nov''2015'!H46)</f>
        <v>0</v>
      </c>
      <c r="I19" s="94">
        <f>SUM('DRRM Funds Nov''2015'!I46)</f>
        <v>0</v>
      </c>
      <c r="J19" s="94">
        <f>SUM('DRRM Funds Nov''2015'!J46)</f>
        <v>39910161.821499988</v>
      </c>
      <c r="K19" s="166">
        <f t="shared" si="1"/>
        <v>39910161.821499988</v>
      </c>
      <c r="L19" s="194">
        <v>0.05</v>
      </c>
      <c r="M19" s="269">
        <f>M18*0.05</f>
        <v>5063197.3055000007</v>
      </c>
    </row>
    <row r="20" spans="1:13" s="109" customFormat="1" ht="18" customHeight="1">
      <c r="A20" s="70" t="s">
        <v>101</v>
      </c>
      <c r="B20" s="122"/>
      <c r="C20" s="72"/>
      <c r="D20" s="72"/>
      <c r="E20" s="119">
        <f>SUM(E18:E19)</f>
        <v>19130155.126099996</v>
      </c>
      <c r="F20" s="119">
        <f t="shared" ref="F20:J20" si="2">SUM(F18:F19)</f>
        <v>25843204.000899997</v>
      </c>
      <c r="G20" s="119">
        <f t="shared" si="2"/>
        <v>0</v>
      </c>
      <c r="H20" s="119">
        <f t="shared" si="2"/>
        <v>0</v>
      </c>
      <c r="I20" s="119">
        <f t="shared" si="2"/>
        <v>0</v>
      </c>
      <c r="J20" s="119">
        <f t="shared" si="2"/>
        <v>44973359.126999989</v>
      </c>
      <c r="K20" s="166">
        <f t="shared" si="1"/>
        <v>44973359.126999989</v>
      </c>
    </row>
    <row r="21" spans="1:13" ht="18" customHeight="1">
      <c r="A21" s="70" t="s">
        <v>15</v>
      </c>
      <c r="B21" s="72"/>
      <c r="C21" s="72"/>
      <c r="D21" s="72"/>
      <c r="E21" s="94"/>
      <c r="F21" s="94"/>
      <c r="G21" s="94"/>
      <c r="H21" s="94"/>
      <c r="I21" s="94"/>
      <c r="J21" s="114"/>
      <c r="K21" s="166">
        <f t="shared" si="1"/>
        <v>0</v>
      </c>
      <c r="M21" s="109">
        <v>26972032.48</v>
      </c>
    </row>
    <row r="22" spans="1:13" ht="18" customHeight="1">
      <c r="A22" s="77" t="s">
        <v>206</v>
      </c>
      <c r="B22" s="263"/>
      <c r="C22" s="263"/>
      <c r="D22" s="263"/>
      <c r="E22" s="94"/>
      <c r="F22" s="94"/>
      <c r="G22" s="94"/>
      <c r="H22" s="94"/>
      <c r="I22" s="94"/>
      <c r="J22" s="114">
        <f>SUM(E22:I22)</f>
        <v>0</v>
      </c>
      <c r="K22" s="166"/>
    </row>
    <row r="23" spans="1:13" ht="18" customHeight="1">
      <c r="A23" s="77" t="s">
        <v>251</v>
      </c>
      <c r="B23" s="263"/>
      <c r="C23" s="263"/>
      <c r="D23" s="263"/>
      <c r="E23" s="94"/>
      <c r="F23" s="94"/>
      <c r="G23" s="94"/>
      <c r="H23" s="94"/>
      <c r="I23" s="94"/>
      <c r="J23" s="114">
        <f t="shared" ref="J23:J42" si="3">SUM(E23:I23)</f>
        <v>0</v>
      </c>
      <c r="K23" s="166">
        <f t="shared" si="1"/>
        <v>0</v>
      </c>
      <c r="L23" s="176">
        <f>518731460.56*0.05</f>
        <v>25936573.028000001</v>
      </c>
      <c r="M23" s="109">
        <v>125607.13</v>
      </c>
    </row>
    <row r="24" spans="1:13" ht="18" customHeight="1">
      <c r="A24" s="77" t="s">
        <v>229</v>
      </c>
      <c r="B24" s="263"/>
      <c r="C24" s="263"/>
      <c r="D24" s="263"/>
      <c r="E24" s="94"/>
      <c r="F24" s="94">
        <v>61070</v>
      </c>
      <c r="G24" s="94"/>
      <c r="H24" s="94"/>
      <c r="I24" s="94"/>
      <c r="J24" s="114">
        <f t="shared" si="3"/>
        <v>61070</v>
      </c>
      <c r="K24" s="166"/>
      <c r="L24" s="228"/>
    </row>
    <row r="25" spans="1:13" ht="18" customHeight="1">
      <c r="A25" s="77" t="s">
        <v>252</v>
      </c>
      <c r="B25" s="263"/>
      <c r="C25" s="263"/>
      <c r="D25" s="263"/>
      <c r="E25" s="94"/>
      <c r="F25" s="94">
        <v>578185.5</v>
      </c>
      <c r="G25" s="94"/>
      <c r="H25" s="94"/>
      <c r="I25" s="94"/>
      <c r="J25" s="114">
        <f t="shared" si="3"/>
        <v>578185.5</v>
      </c>
      <c r="K25" s="166">
        <f t="shared" si="1"/>
        <v>578185.5</v>
      </c>
      <c r="L25" s="109" t="e">
        <f>L23-K13</f>
        <v>#REF!</v>
      </c>
      <c r="M25" s="109">
        <v>510000</v>
      </c>
    </row>
    <row r="26" spans="1:13" ht="18" customHeight="1">
      <c r="A26" s="77" t="s">
        <v>276</v>
      </c>
      <c r="B26" s="263"/>
      <c r="C26" s="263"/>
      <c r="D26" s="263"/>
      <c r="E26" s="94"/>
      <c r="F26" s="94">
        <v>720977.52</v>
      </c>
      <c r="G26" s="94"/>
      <c r="H26" s="94"/>
      <c r="I26" s="94"/>
      <c r="J26" s="114">
        <f t="shared" si="3"/>
        <v>720977.52</v>
      </c>
      <c r="K26" s="166">
        <f t="shared" si="1"/>
        <v>720977.52</v>
      </c>
      <c r="M26" s="109">
        <v>1430000</v>
      </c>
    </row>
    <row r="27" spans="1:13" ht="18" customHeight="1">
      <c r="A27" s="83" t="s">
        <v>275</v>
      </c>
      <c r="B27" s="263"/>
      <c r="C27" s="263"/>
      <c r="D27" s="263"/>
      <c r="E27" s="94"/>
      <c r="F27" s="94">
        <v>290200</v>
      </c>
      <c r="G27" s="94"/>
      <c r="H27" s="94"/>
      <c r="I27" s="94"/>
      <c r="J27" s="114">
        <f t="shared" si="3"/>
        <v>290200</v>
      </c>
      <c r="K27" s="166">
        <f t="shared" si="1"/>
        <v>290200</v>
      </c>
      <c r="M27" s="109">
        <v>4285413.1100000003</v>
      </c>
    </row>
    <row r="28" spans="1:13" ht="18" customHeight="1">
      <c r="A28" s="77" t="s">
        <v>274</v>
      </c>
      <c r="B28" s="263"/>
      <c r="C28" s="263"/>
      <c r="D28" s="263"/>
      <c r="E28" s="94"/>
      <c r="F28" s="94"/>
      <c r="G28" s="94"/>
      <c r="H28" s="94"/>
      <c r="I28" s="94"/>
      <c r="J28" s="114">
        <f t="shared" si="3"/>
        <v>0</v>
      </c>
      <c r="K28" s="166">
        <f t="shared" si="1"/>
        <v>0</v>
      </c>
      <c r="M28" s="109">
        <v>3777930</v>
      </c>
    </row>
    <row r="29" spans="1:13" ht="18" customHeight="1">
      <c r="A29" s="77" t="s">
        <v>227</v>
      </c>
      <c r="B29" s="263"/>
      <c r="C29" s="263"/>
      <c r="D29" s="263"/>
      <c r="E29" s="94"/>
      <c r="F29" s="94"/>
      <c r="G29" s="94"/>
      <c r="H29" s="94"/>
      <c r="I29" s="94"/>
      <c r="J29" s="114">
        <f t="shared" si="3"/>
        <v>0</v>
      </c>
      <c r="K29" s="166">
        <f t="shared" si="1"/>
        <v>0</v>
      </c>
      <c r="L29" s="118" t="s">
        <v>162</v>
      </c>
      <c r="M29" s="109">
        <v>100</v>
      </c>
    </row>
    <row r="30" spans="1:13" ht="18" customHeight="1">
      <c r="A30" s="77" t="s">
        <v>273</v>
      </c>
      <c r="B30" s="263"/>
      <c r="C30" s="263"/>
      <c r="D30" s="263"/>
      <c r="E30" s="94"/>
      <c r="F30" s="94">
        <v>15800</v>
      </c>
      <c r="G30" s="94"/>
      <c r="H30" s="94"/>
      <c r="I30" s="94"/>
      <c r="J30" s="114">
        <f t="shared" si="3"/>
        <v>15800</v>
      </c>
      <c r="K30" s="166"/>
      <c r="L30" s="118"/>
    </row>
    <row r="31" spans="1:13" ht="18" customHeight="1">
      <c r="A31" s="77" t="s">
        <v>213</v>
      </c>
      <c r="B31" s="263"/>
      <c r="C31" s="263"/>
      <c r="D31" s="263"/>
      <c r="E31" s="94"/>
      <c r="F31" s="94"/>
      <c r="G31" s="94"/>
      <c r="H31" s="94"/>
      <c r="I31" s="94"/>
      <c r="J31" s="114">
        <f t="shared" si="3"/>
        <v>0</v>
      </c>
      <c r="K31" s="166"/>
      <c r="L31" s="118"/>
      <c r="M31" s="109">
        <f>SUM(M23:M29)</f>
        <v>10129050.24</v>
      </c>
    </row>
    <row r="32" spans="1:13" ht="18" customHeight="1">
      <c r="A32" s="77" t="s">
        <v>250</v>
      </c>
      <c r="B32" s="263"/>
      <c r="C32" s="263"/>
      <c r="D32" s="263"/>
      <c r="E32" s="94"/>
      <c r="F32" s="94"/>
      <c r="G32" s="94"/>
      <c r="H32" s="94"/>
      <c r="I32" s="94"/>
      <c r="J32" s="114">
        <f t="shared" si="3"/>
        <v>0</v>
      </c>
      <c r="K32" s="166"/>
      <c r="L32" s="118"/>
    </row>
    <row r="33" spans="1:13" ht="18" customHeight="1">
      <c r="A33" s="77" t="s">
        <v>214</v>
      </c>
      <c r="B33" s="263"/>
      <c r="C33" s="263"/>
      <c r="D33" s="263"/>
      <c r="E33" s="94"/>
      <c r="F33" s="94">
        <f>345985.81+1975000</f>
        <v>2320985.81</v>
      </c>
      <c r="G33" s="94"/>
      <c r="H33" s="94"/>
      <c r="I33" s="94"/>
      <c r="J33" s="114">
        <f t="shared" si="3"/>
        <v>2320985.81</v>
      </c>
      <c r="K33" s="227"/>
      <c r="L33" s="118"/>
    </row>
    <row r="34" spans="1:13" ht="18" customHeight="1">
      <c r="A34" s="77" t="s">
        <v>249</v>
      </c>
      <c r="B34" s="263"/>
      <c r="C34" s="263"/>
      <c r="D34" s="263"/>
      <c r="E34" s="94"/>
      <c r="F34" s="94">
        <f>199014.15+1214184.35</f>
        <v>1413198.5</v>
      </c>
      <c r="G34" s="94"/>
      <c r="H34" s="94"/>
      <c r="I34" s="94"/>
      <c r="J34" s="114">
        <f t="shared" si="3"/>
        <v>1413198.5</v>
      </c>
      <c r="K34" s="265"/>
      <c r="L34" s="118"/>
    </row>
    <row r="35" spans="1:13" ht="18" customHeight="1">
      <c r="A35" s="77" t="s">
        <v>222</v>
      </c>
      <c r="B35" s="263"/>
      <c r="C35" s="263"/>
      <c r="D35" s="263"/>
      <c r="E35" s="94"/>
      <c r="F35" s="94">
        <v>866800</v>
      </c>
      <c r="G35" s="94"/>
      <c r="H35" s="94"/>
      <c r="I35" s="94"/>
      <c r="J35" s="114">
        <f t="shared" si="3"/>
        <v>866800</v>
      </c>
      <c r="K35" s="266">
        <f t="shared" si="1"/>
        <v>866800</v>
      </c>
      <c r="L35" s="109">
        <f>SUM(F29:F35)</f>
        <v>4616784.3100000005</v>
      </c>
    </row>
    <row r="36" spans="1:13" ht="18" customHeight="1">
      <c r="A36" s="77" t="s">
        <v>223</v>
      </c>
      <c r="B36" s="263"/>
      <c r="C36" s="263"/>
      <c r="D36" s="263"/>
      <c r="E36" s="94"/>
      <c r="F36" s="94"/>
      <c r="G36" s="94"/>
      <c r="H36" s="94"/>
      <c r="I36" s="94"/>
      <c r="J36" s="114">
        <f t="shared" si="3"/>
        <v>0</v>
      </c>
      <c r="K36" s="166">
        <f t="shared" si="1"/>
        <v>0</v>
      </c>
      <c r="L36" s="109">
        <v>147060</v>
      </c>
    </row>
    <row r="37" spans="1:13" ht="18" customHeight="1">
      <c r="A37" s="77" t="s">
        <v>168</v>
      </c>
      <c r="B37" s="263"/>
      <c r="C37" s="263"/>
      <c r="D37" s="263"/>
      <c r="E37" s="94"/>
      <c r="F37" s="94"/>
      <c r="G37" s="94"/>
      <c r="H37" s="94"/>
      <c r="I37" s="94"/>
      <c r="J37" s="114">
        <f t="shared" si="3"/>
        <v>0</v>
      </c>
      <c r="K37" s="166">
        <f t="shared" si="1"/>
        <v>0</v>
      </c>
    </row>
    <row r="38" spans="1:13" ht="18" customHeight="1">
      <c r="A38" s="77" t="s">
        <v>208</v>
      </c>
      <c r="B38" s="263"/>
      <c r="C38" s="263"/>
      <c r="D38" s="263"/>
      <c r="E38" s="94"/>
      <c r="F38" s="94"/>
      <c r="G38" s="94"/>
      <c r="H38" s="94"/>
      <c r="I38" s="94"/>
      <c r="J38" s="114">
        <f t="shared" si="3"/>
        <v>0</v>
      </c>
      <c r="K38" s="166">
        <f t="shared" si="1"/>
        <v>0</v>
      </c>
      <c r="L38" s="109">
        <v>1555500</v>
      </c>
    </row>
    <row r="39" spans="1:13" ht="18" customHeight="1">
      <c r="A39" s="77" t="s">
        <v>207</v>
      </c>
      <c r="B39" s="263"/>
      <c r="C39" s="263"/>
      <c r="D39" s="263"/>
      <c r="E39" s="94"/>
      <c r="F39" s="94">
        <v>179630</v>
      </c>
      <c r="G39" s="94"/>
      <c r="H39" s="94"/>
      <c r="I39" s="94"/>
      <c r="J39" s="114">
        <f t="shared" si="3"/>
        <v>179630</v>
      </c>
      <c r="K39" s="166"/>
    </row>
    <row r="40" spans="1:13" ht="18" customHeight="1">
      <c r="A40" s="83" t="s">
        <v>94</v>
      </c>
      <c r="B40" s="263"/>
      <c r="C40" s="263"/>
      <c r="D40" s="263"/>
      <c r="E40" s="94"/>
      <c r="F40" s="94"/>
      <c r="G40" s="94"/>
      <c r="H40" s="94"/>
      <c r="I40" s="94"/>
      <c r="J40" s="114">
        <f t="shared" si="3"/>
        <v>0</v>
      </c>
      <c r="K40" s="166">
        <f t="shared" si="1"/>
        <v>0</v>
      </c>
      <c r="L40" s="109">
        <v>177000</v>
      </c>
    </row>
    <row r="41" spans="1:13" ht="18" customHeight="1">
      <c r="A41" s="83" t="s">
        <v>95</v>
      </c>
      <c r="B41" s="263"/>
      <c r="C41" s="263"/>
      <c r="D41" s="263"/>
      <c r="E41" s="94"/>
      <c r="F41" s="94"/>
      <c r="G41" s="94"/>
      <c r="H41" s="94"/>
      <c r="I41" s="94"/>
      <c r="J41" s="114">
        <f t="shared" si="3"/>
        <v>0</v>
      </c>
      <c r="K41" s="166">
        <f t="shared" si="1"/>
        <v>0</v>
      </c>
      <c r="L41" s="109">
        <v>204055</v>
      </c>
    </row>
    <row r="42" spans="1:13" ht="18" customHeight="1">
      <c r="A42" s="77" t="s">
        <v>96</v>
      </c>
      <c r="B42" s="263"/>
      <c r="C42" s="263"/>
      <c r="D42" s="263"/>
      <c r="E42" s="94"/>
      <c r="F42" s="94"/>
      <c r="G42" s="94"/>
      <c r="H42" s="94"/>
      <c r="I42" s="94"/>
      <c r="J42" s="114">
        <f t="shared" si="3"/>
        <v>0</v>
      </c>
      <c r="K42" s="166">
        <f t="shared" si="1"/>
        <v>0</v>
      </c>
      <c r="L42" s="109">
        <v>71070</v>
      </c>
    </row>
    <row r="43" spans="1:13" ht="18" customHeight="1">
      <c r="A43" s="84" t="s">
        <v>92</v>
      </c>
      <c r="B43" s="63"/>
      <c r="C43" s="63"/>
      <c r="D43" s="63"/>
      <c r="E43" s="94">
        <f t="shared" ref="E43:J43" si="4">SUM(E22:E42)</f>
        <v>0</v>
      </c>
      <c r="F43" s="94">
        <f t="shared" si="4"/>
        <v>6446847.3300000001</v>
      </c>
      <c r="G43" s="94">
        <f t="shared" si="4"/>
        <v>0</v>
      </c>
      <c r="H43" s="94">
        <f t="shared" si="4"/>
        <v>0</v>
      </c>
      <c r="I43" s="94">
        <f t="shared" si="4"/>
        <v>0</v>
      </c>
      <c r="J43" s="94">
        <f t="shared" si="4"/>
        <v>6446847.3300000001</v>
      </c>
      <c r="K43" s="166">
        <f t="shared" si="1"/>
        <v>6446847.3300000001</v>
      </c>
      <c r="L43" s="109">
        <v>27800</v>
      </c>
      <c r="M43" s="46"/>
    </row>
    <row r="44" spans="1:13" ht="18" customHeight="1">
      <c r="A44" s="84" t="s">
        <v>103</v>
      </c>
      <c r="B44" s="63"/>
      <c r="C44" s="63"/>
      <c r="D44" s="63"/>
      <c r="E44" s="103">
        <f>SUM('DRRM Funds Nov''2015'!E45)</f>
        <v>0</v>
      </c>
      <c r="F44" s="103">
        <f>SUM('DRRM Funds Nov''2015'!F45)</f>
        <v>19190361.689999998</v>
      </c>
      <c r="G44" s="103">
        <f>SUM('DRRM Funds Nov''2015'!G45)</f>
        <v>0</v>
      </c>
      <c r="H44" s="103">
        <f>SUM('DRRM Funds Nov''2015'!H45)</f>
        <v>0</v>
      </c>
      <c r="I44" s="103">
        <f>SUM('DRRM Funds Nov''2015'!I45)</f>
        <v>0</v>
      </c>
      <c r="J44" s="103">
        <f>SUM('DRRM Funds Nov''2015'!J45)</f>
        <v>19190361.689999998</v>
      </c>
      <c r="K44" s="166">
        <f t="shared" si="1"/>
        <v>19190361.689999998</v>
      </c>
      <c r="L44" s="109">
        <v>126865</v>
      </c>
      <c r="M44" s="109">
        <f>SUM(E44:H44)</f>
        <v>19190361.689999998</v>
      </c>
    </row>
    <row r="45" spans="1:13" ht="18" customHeight="1">
      <c r="A45" s="84" t="s">
        <v>104</v>
      </c>
      <c r="B45" s="63"/>
      <c r="C45" s="63"/>
      <c r="D45" s="63"/>
      <c r="E45" s="103">
        <f>SUM(E43:E44)</f>
        <v>0</v>
      </c>
      <c r="F45" s="103">
        <f>SUM(F43:F44)</f>
        <v>25637209.019999996</v>
      </c>
      <c r="G45" s="103">
        <f t="shared" ref="G45:J45" si="5">SUM(G43:G44)</f>
        <v>0</v>
      </c>
      <c r="H45" s="103">
        <f t="shared" si="5"/>
        <v>0</v>
      </c>
      <c r="I45" s="103">
        <f t="shared" si="5"/>
        <v>0</v>
      </c>
      <c r="J45" s="103">
        <f t="shared" si="5"/>
        <v>25637209.019999996</v>
      </c>
      <c r="K45" s="166">
        <f t="shared" si="1"/>
        <v>25637209.019999996</v>
      </c>
      <c r="L45" s="174">
        <f>SUM(L35:L44)</f>
        <v>6926134.3100000005</v>
      </c>
      <c r="M45" s="109">
        <v>10492358.970000001</v>
      </c>
    </row>
    <row r="46" spans="1:13" ht="18" customHeight="1">
      <c r="A46" s="70" t="s">
        <v>93</v>
      </c>
      <c r="B46" s="72"/>
      <c r="C46" s="72"/>
      <c r="D46" s="80"/>
      <c r="E46" s="231">
        <f t="shared" ref="E46:J46" si="6">E20-E43</f>
        <v>19130155.126099996</v>
      </c>
      <c r="F46" s="231">
        <f t="shared" si="6"/>
        <v>19396356.670899995</v>
      </c>
      <c r="G46" s="231">
        <f t="shared" si="6"/>
        <v>0</v>
      </c>
      <c r="H46" s="231">
        <f t="shared" si="6"/>
        <v>0</v>
      </c>
      <c r="I46" s="231">
        <f t="shared" si="6"/>
        <v>0</v>
      </c>
      <c r="J46" s="231">
        <f t="shared" si="6"/>
        <v>38526511.796999991</v>
      </c>
      <c r="K46" s="166">
        <f>SUM(E46:I46)</f>
        <v>38526511.796999991</v>
      </c>
      <c r="L46" s="46"/>
      <c r="M46" s="109">
        <f>M45-L45</f>
        <v>3566224.66</v>
      </c>
    </row>
    <row r="47" spans="1:13" ht="18" customHeight="1">
      <c r="A47" s="55"/>
      <c r="B47" s="55"/>
      <c r="C47" s="55"/>
      <c r="D47" s="55"/>
      <c r="E47" s="55"/>
      <c r="F47" s="55"/>
      <c r="G47" s="55"/>
      <c r="H47" s="55"/>
      <c r="I47" s="55"/>
      <c r="J47" s="115" t="s">
        <v>74</v>
      </c>
      <c r="K47" s="92">
        <f>SUM(E46:F46)</f>
        <v>38526511.796999991</v>
      </c>
      <c r="M47" s="109">
        <v>0</v>
      </c>
    </row>
    <row r="48" spans="1:13">
      <c r="A48" s="55" t="s">
        <v>83</v>
      </c>
      <c r="B48" s="55"/>
      <c r="C48" s="55"/>
      <c r="D48" s="55"/>
      <c r="E48" s="55"/>
      <c r="F48" s="55"/>
      <c r="G48" s="55"/>
      <c r="H48" s="55" t="s">
        <v>29</v>
      </c>
      <c r="I48" s="55"/>
      <c r="J48" s="115"/>
      <c r="K48" s="55"/>
      <c r="L48" s="109">
        <v>752760</v>
      </c>
    </row>
    <row r="49" spans="1:13">
      <c r="A49" s="55"/>
      <c r="B49" s="55"/>
      <c r="C49" s="55"/>
      <c r="D49" s="55"/>
      <c r="E49" s="55"/>
      <c r="F49" s="55"/>
      <c r="G49" s="55"/>
      <c r="H49" s="55"/>
      <c r="I49" s="55"/>
      <c r="J49" s="115"/>
      <c r="K49" s="55"/>
      <c r="L49" s="109">
        <v>902075</v>
      </c>
    </row>
    <row r="50" spans="1:13">
      <c r="A50" s="82" t="s">
        <v>202</v>
      </c>
      <c r="B50" s="55"/>
      <c r="C50" s="55"/>
      <c r="D50" s="55"/>
      <c r="E50" s="55"/>
      <c r="F50" s="55"/>
      <c r="G50" s="55"/>
      <c r="H50" s="241" t="s">
        <v>194</v>
      </c>
      <c r="I50" s="55"/>
      <c r="J50" s="115"/>
      <c r="K50" s="55"/>
      <c r="L50" s="109">
        <v>504234.65</v>
      </c>
      <c r="M50" s="109">
        <v>8736531.7100000009</v>
      </c>
    </row>
    <row r="51" spans="1:13">
      <c r="A51" s="140" t="s">
        <v>203</v>
      </c>
      <c r="B51" s="55"/>
      <c r="C51" s="55"/>
      <c r="D51" s="55"/>
      <c r="E51" s="55"/>
      <c r="F51" s="55"/>
      <c r="G51" s="55"/>
      <c r="H51" s="140" t="s">
        <v>195</v>
      </c>
      <c r="I51" s="55"/>
      <c r="J51" s="115"/>
      <c r="K51" s="55"/>
      <c r="L51" s="109">
        <v>899145</v>
      </c>
      <c r="M51" s="109">
        <v>10140</v>
      </c>
    </row>
    <row r="52" spans="1:13">
      <c r="A52" s="55"/>
      <c r="B52" s="55"/>
      <c r="C52" s="55"/>
      <c r="D52" s="55"/>
      <c r="E52" s="121" t="s">
        <v>237</v>
      </c>
      <c r="F52" s="55"/>
      <c r="G52" s="55"/>
      <c r="H52" s="55"/>
      <c r="I52" s="55"/>
      <c r="J52" s="115"/>
      <c r="K52" s="55"/>
      <c r="L52" s="109">
        <v>1087927.3999999999</v>
      </c>
      <c r="M52" s="109">
        <f>SUM(M50:M51)</f>
        <v>8746671.7100000009</v>
      </c>
    </row>
    <row r="53" spans="1:13">
      <c r="A53" s="55"/>
      <c r="B53" s="55"/>
      <c r="C53" s="55"/>
      <c r="D53" s="55"/>
      <c r="E53" s="115"/>
      <c r="F53" s="55"/>
      <c r="G53" s="55"/>
      <c r="H53" s="55"/>
      <c r="I53" s="115"/>
      <c r="J53" s="115"/>
      <c r="K53" s="55"/>
      <c r="L53" s="109">
        <v>2896515.5</v>
      </c>
    </row>
    <row r="54" spans="1:13">
      <c r="A54" s="55"/>
      <c r="B54" s="55"/>
      <c r="C54" s="55"/>
      <c r="D54" s="55"/>
      <c r="E54" s="82" t="s">
        <v>149</v>
      </c>
      <c r="F54" s="55"/>
      <c r="G54" s="55"/>
      <c r="H54" s="55"/>
      <c r="I54" s="115"/>
      <c r="J54" s="115"/>
      <c r="K54" s="55"/>
    </row>
    <row r="55" spans="1:13">
      <c r="A55" s="55"/>
      <c r="B55" s="55"/>
      <c r="C55" s="55"/>
      <c r="D55" s="55"/>
      <c r="E55" s="55" t="s">
        <v>238</v>
      </c>
      <c r="F55" s="55"/>
      <c r="G55" s="55"/>
      <c r="H55" s="55"/>
      <c r="I55" s="115"/>
      <c r="J55" s="115"/>
      <c r="K55" s="55"/>
      <c r="L55" s="109">
        <v>120000</v>
      </c>
    </row>
    <row r="56" spans="1:13">
      <c r="I56" s="109"/>
      <c r="M56" s="46"/>
    </row>
    <row r="57" spans="1:13">
      <c r="F57" s="121">
        <f>F18-F58</f>
        <v>1369083.8138500005</v>
      </c>
      <c r="I57" s="109"/>
      <c r="K57" s="55"/>
      <c r="L57" s="115">
        <v>630000</v>
      </c>
      <c r="M57" s="183">
        <v>10644424.82</v>
      </c>
    </row>
    <row r="58" spans="1:13">
      <c r="F58" s="115">
        <f>49980+103610+255752.8+265335+81917.75+32889+315132+287135.25+143400+640002.5</f>
        <v>2175154.2999999998</v>
      </c>
      <c r="I58" s="109"/>
      <c r="J58" s="109">
        <v>7850000</v>
      </c>
      <c r="L58" s="109">
        <v>1000000</v>
      </c>
      <c r="M58" s="183">
        <v>13157941.960000001</v>
      </c>
    </row>
    <row r="59" spans="1:13">
      <c r="I59" s="109"/>
      <c r="J59" s="109">
        <v>800000</v>
      </c>
      <c r="L59" s="109">
        <v>1300000</v>
      </c>
      <c r="M59" s="184">
        <v>0</v>
      </c>
    </row>
    <row r="60" spans="1:13">
      <c r="I60" s="109"/>
      <c r="J60" s="109">
        <v>1200000</v>
      </c>
      <c r="L60" s="109">
        <v>2000000</v>
      </c>
      <c r="M60" s="183">
        <f>SUM(M57:M59)</f>
        <v>23802366.780000001</v>
      </c>
    </row>
    <row r="61" spans="1:13">
      <c r="I61" s="109"/>
      <c r="J61" s="109">
        <v>3500000</v>
      </c>
      <c r="L61" s="109">
        <v>150000</v>
      </c>
      <c r="M61" s="183">
        <v>24092226.780000001</v>
      </c>
    </row>
    <row r="62" spans="1:13">
      <c r="I62" s="109">
        <v>100000</v>
      </c>
      <c r="J62" s="116">
        <f>SUM(J58:J61)</f>
        <v>13350000</v>
      </c>
      <c r="L62" s="109">
        <v>4590281.96</v>
      </c>
      <c r="M62" s="183">
        <f>M61-M60</f>
        <v>289860</v>
      </c>
    </row>
    <row r="63" spans="1:13">
      <c r="I63" s="109">
        <v>4589687.1100000003</v>
      </c>
      <c r="J63" s="109">
        <v>16829861.079999998</v>
      </c>
      <c r="L63" s="109">
        <f>SUM(L57:L62)</f>
        <v>9670281.9600000009</v>
      </c>
      <c r="M63" s="46"/>
    </row>
    <row r="64" spans="1:13">
      <c r="I64" s="116">
        <f>SUM(I58:I63)</f>
        <v>4689687.1100000003</v>
      </c>
      <c r="J64" s="109">
        <f>J62-J63</f>
        <v>-3479861.0799999982</v>
      </c>
      <c r="M64" s="109">
        <v>24416573.030000001</v>
      </c>
    </row>
    <row r="65" spans="1:13">
      <c r="I65" s="109">
        <v>7212797.6100000003</v>
      </c>
      <c r="M65" s="109">
        <v>24708913.030000001</v>
      </c>
    </row>
    <row r="66" spans="1:13">
      <c r="I66" s="109">
        <f>I64-I65</f>
        <v>-2523110.5</v>
      </c>
      <c r="M66" s="109">
        <f>M64-M65</f>
        <v>-292340</v>
      </c>
    </row>
    <row r="67" spans="1:13">
      <c r="I67" s="109"/>
      <c r="M67" s="109">
        <v>289860</v>
      </c>
    </row>
    <row r="68" spans="1:13">
      <c r="I68" s="109"/>
      <c r="J68" s="109">
        <v>25346381.800000001</v>
      </c>
      <c r="M68" s="173">
        <f>SUM(M66:M67)</f>
        <v>-2480</v>
      </c>
    </row>
    <row r="69" spans="1:13">
      <c r="I69" s="109"/>
      <c r="J69" s="109">
        <v>24042658.690000001</v>
      </c>
      <c r="M69" s="46"/>
    </row>
    <row r="70" spans="1:13">
      <c r="I70" s="109"/>
      <c r="J70" s="109">
        <f>J68-J69</f>
        <v>1303723.1099999994</v>
      </c>
      <c r="L70" s="109">
        <v>400000</v>
      </c>
      <c r="M70" s="46"/>
    </row>
    <row r="71" spans="1:13">
      <c r="I71" s="109"/>
      <c r="L71" s="109">
        <v>1000000</v>
      </c>
      <c r="M71" s="109">
        <v>25279.7</v>
      </c>
    </row>
    <row r="72" spans="1:13">
      <c r="I72" s="109"/>
      <c r="M72" s="109">
        <v>27759.7</v>
      </c>
    </row>
    <row r="73" spans="1:13">
      <c r="H73" s="109"/>
      <c r="I73" s="109"/>
      <c r="M73" s="173">
        <f>M71-M72</f>
        <v>-2480</v>
      </c>
    </row>
    <row r="74" spans="1:13">
      <c r="H74" s="109">
        <v>4455551.57</v>
      </c>
      <c r="I74" s="109"/>
      <c r="J74" s="109">
        <v>17496381.800000001</v>
      </c>
      <c r="M74" s="46"/>
    </row>
    <row r="75" spans="1:13">
      <c r="H75" s="109">
        <v>5760963.6399999997</v>
      </c>
      <c r="I75" s="109"/>
      <c r="J75" s="109">
        <v>7850000</v>
      </c>
      <c r="M75" s="46"/>
    </row>
    <row r="76" spans="1:13">
      <c r="H76" s="109">
        <f>SUM(H74:H75)</f>
        <v>10216515.210000001</v>
      </c>
      <c r="I76" s="109"/>
      <c r="J76" s="109">
        <f>SUM(J74:J75)</f>
        <v>25346381.800000001</v>
      </c>
      <c r="M76" s="46"/>
    </row>
    <row r="77" spans="1:13" s="109" customFormat="1">
      <c r="A77" s="46"/>
      <c r="B77" s="46"/>
      <c r="C77" s="46"/>
      <c r="D77" s="46"/>
      <c r="E77" s="46"/>
      <c r="F77" s="46"/>
      <c r="G77" s="46"/>
    </row>
    <row r="78" spans="1:13" s="109" customFormat="1">
      <c r="A78" s="46"/>
      <c r="B78" s="46"/>
      <c r="C78" s="46"/>
      <c r="D78" s="46"/>
      <c r="E78" s="46"/>
      <c r="F78" s="46"/>
      <c r="G78" s="46"/>
    </row>
    <row r="79" spans="1:13" s="109" customFormat="1">
      <c r="A79" s="46"/>
      <c r="B79" s="46"/>
      <c r="C79" s="46"/>
      <c r="D79" s="46"/>
      <c r="E79" s="46"/>
      <c r="F79" s="46"/>
      <c r="G79" s="46"/>
    </row>
    <row r="80" spans="1:13" s="109" customFormat="1">
      <c r="A80" s="46"/>
      <c r="B80" s="46"/>
      <c r="C80" s="46"/>
      <c r="D80" s="46"/>
      <c r="E80" s="46"/>
      <c r="F80" s="46"/>
      <c r="G80" s="46"/>
    </row>
    <row r="81" spans="1:11" s="109" customFormat="1">
      <c r="A81" s="46"/>
      <c r="B81" s="46"/>
      <c r="C81" s="46"/>
      <c r="D81" s="46"/>
      <c r="E81" s="46"/>
      <c r="F81" s="46"/>
      <c r="G81" s="46"/>
    </row>
    <row r="82" spans="1:11" s="109" customFormat="1">
      <c r="A82" s="46"/>
      <c r="B82" s="46"/>
      <c r="C82" s="46"/>
      <c r="D82" s="46"/>
      <c r="E82" s="46"/>
      <c r="F82" s="46"/>
      <c r="G82" s="46"/>
    </row>
    <row r="83" spans="1:11" s="109" customFormat="1">
      <c r="A83" s="46"/>
      <c r="B83" s="46"/>
      <c r="C83" s="46"/>
      <c r="D83" s="46"/>
      <c r="E83" s="46"/>
      <c r="F83" s="46"/>
      <c r="G83" s="46"/>
      <c r="H83" s="46"/>
    </row>
    <row r="84" spans="1:11" s="109" customFormat="1">
      <c r="A84" s="46"/>
      <c r="B84" s="46"/>
      <c r="C84" s="46"/>
      <c r="D84" s="46"/>
      <c r="E84" s="46"/>
      <c r="F84" s="46"/>
      <c r="G84" s="46"/>
      <c r="H84" s="46"/>
    </row>
    <row r="85" spans="1:11" s="109" customFormat="1">
      <c r="A85" s="46"/>
      <c r="B85" s="46"/>
      <c r="C85" s="46"/>
      <c r="D85" s="46"/>
      <c r="E85" s="46"/>
      <c r="F85" s="46"/>
      <c r="G85" s="46"/>
      <c r="H85" s="46"/>
    </row>
    <row r="86" spans="1:11" s="109" customFormat="1">
      <c r="A86" s="46"/>
      <c r="B86" s="46"/>
      <c r="C86" s="46"/>
      <c r="D86" s="46"/>
      <c r="E86" s="46"/>
      <c r="F86" s="46"/>
      <c r="G86" s="46"/>
      <c r="H86" s="46"/>
    </row>
    <row r="87" spans="1:11" s="109" customFormat="1">
      <c r="A87" s="46"/>
      <c r="B87" s="46"/>
      <c r="C87" s="46"/>
      <c r="D87" s="46"/>
      <c r="E87" s="46"/>
      <c r="F87" s="46"/>
      <c r="G87" s="46"/>
      <c r="H87" s="46"/>
      <c r="K87" s="46"/>
    </row>
    <row r="88" spans="1:11" s="109" customFormat="1">
      <c r="A88" s="46"/>
      <c r="B88" s="46"/>
      <c r="C88" s="46"/>
      <c r="D88" s="46"/>
      <c r="E88" s="46"/>
      <c r="F88" s="46"/>
      <c r="G88" s="46"/>
      <c r="H88" s="46"/>
      <c r="K88" s="46"/>
    </row>
    <row r="89" spans="1:11" s="109" customFormat="1">
      <c r="A89" s="46"/>
      <c r="B89" s="46"/>
      <c r="C89" s="46"/>
      <c r="D89" s="46"/>
      <c r="E89" s="46"/>
      <c r="F89" s="46"/>
      <c r="G89" s="46"/>
      <c r="H89" s="46"/>
      <c r="K89" s="46"/>
    </row>
    <row r="90" spans="1:11" s="109" customFormat="1">
      <c r="A90" s="46"/>
      <c r="B90" s="46"/>
      <c r="C90" s="46"/>
      <c r="D90" s="46"/>
      <c r="E90" s="46"/>
      <c r="F90" s="46"/>
      <c r="G90" s="46"/>
      <c r="H90" s="46"/>
      <c r="K90" s="46"/>
    </row>
    <row r="91" spans="1:11" s="109" customFormat="1">
      <c r="A91" s="46"/>
      <c r="B91" s="46"/>
      <c r="C91" s="46"/>
      <c r="D91" s="46"/>
      <c r="E91" s="46"/>
      <c r="F91" s="46"/>
      <c r="G91" s="46"/>
      <c r="H91" s="46"/>
      <c r="K91" s="46"/>
    </row>
    <row r="92" spans="1:11" s="109" customFormat="1">
      <c r="A92" s="46"/>
      <c r="B92" s="46"/>
      <c r="C92" s="46"/>
      <c r="D92" s="46"/>
      <c r="E92" s="46"/>
      <c r="F92" s="46"/>
      <c r="G92" s="46"/>
      <c r="H92" s="46"/>
      <c r="K92" s="46"/>
    </row>
    <row r="93" spans="1:11" s="109" customFormat="1">
      <c r="A93" s="46"/>
      <c r="B93" s="46"/>
      <c r="C93" s="46"/>
      <c r="D93" s="46"/>
      <c r="E93" s="46"/>
      <c r="F93" s="46"/>
      <c r="G93" s="46"/>
      <c r="H93" s="46"/>
      <c r="K93" s="46"/>
    </row>
    <row r="94" spans="1:11" s="109" customFormat="1">
      <c r="A94" s="46"/>
      <c r="B94" s="46"/>
      <c r="C94" s="46"/>
      <c r="D94" s="46"/>
      <c r="E94" s="46"/>
      <c r="F94" s="46"/>
      <c r="G94" s="46"/>
      <c r="H94" s="46"/>
      <c r="K94" s="46"/>
    </row>
    <row r="95" spans="1:11" s="109" customFormat="1">
      <c r="A95" s="46"/>
      <c r="B95" s="46"/>
      <c r="C95" s="46"/>
      <c r="D95" s="46"/>
      <c r="E95" s="46"/>
      <c r="F95" s="46"/>
      <c r="G95" s="46"/>
      <c r="H95" s="46"/>
      <c r="K95" s="46"/>
    </row>
    <row r="96" spans="1:11" s="109" customFormat="1">
      <c r="A96" s="46"/>
      <c r="B96" s="46"/>
      <c r="C96" s="46"/>
      <c r="D96" s="46"/>
      <c r="E96" s="46"/>
      <c r="F96" s="46"/>
      <c r="G96" s="46"/>
      <c r="H96" s="46"/>
      <c r="K96" s="46"/>
    </row>
    <row r="97" spans="1:11" s="109" customFormat="1">
      <c r="A97" s="46"/>
      <c r="B97" s="46"/>
      <c r="C97" s="46"/>
      <c r="D97" s="46"/>
      <c r="E97" s="46"/>
      <c r="F97" s="46"/>
      <c r="G97" s="46"/>
      <c r="H97" s="46"/>
      <c r="K97" s="46"/>
    </row>
    <row r="98" spans="1:11" s="109" customFormat="1">
      <c r="A98" s="46"/>
      <c r="B98" s="46"/>
      <c r="C98" s="46"/>
      <c r="D98" s="46"/>
      <c r="E98" s="46"/>
      <c r="F98" s="46"/>
      <c r="G98" s="46"/>
      <c r="H98" s="46"/>
      <c r="K98" s="46"/>
    </row>
    <row r="99" spans="1:11" s="109" customFormat="1">
      <c r="A99" s="46"/>
      <c r="B99" s="46"/>
      <c r="C99" s="46"/>
      <c r="D99" s="46"/>
      <c r="E99" s="46"/>
      <c r="F99" s="46"/>
      <c r="G99" s="46"/>
      <c r="H99" s="46"/>
      <c r="K99" s="46"/>
    </row>
  </sheetData>
  <mergeCells count="3">
    <mergeCell ref="A2:J2"/>
    <mergeCell ref="A3:J3"/>
    <mergeCell ref="A4:J4"/>
  </mergeCells>
  <printOptions horizontalCentered="1"/>
  <pageMargins left="0.02" right="0.15" top="0.39" bottom="0.1" header="0.21" footer="0.1"/>
  <pageSetup scale="84" orientation="portrait" horizontalDpi="4294967294" verticalDpi="30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M99"/>
  <sheetViews>
    <sheetView topLeftCell="A33" workbookViewId="0">
      <selection activeCell="I25" sqref="I25"/>
    </sheetView>
  </sheetViews>
  <sheetFormatPr defaultRowHeight="12.75"/>
  <cols>
    <col min="1" max="1" width="6" style="46" customWidth="1"/>
    <col min="2" max="3" width="9.140625" style="46"/>
    <col min="4" max="4" width="16.5703125" style="46" customWidth="1"/>
    <col min="5" max="6" width="13.85546875" style="46" customWidth="1"/>
    <col min="7" max="7" width="10" style="46" customWidth="1"/>
    <col min="8" max="8" width="11.5703125" style="46" customWidth="1"/>
    <col min="9" max="9" width="11.42578125" style="46" customWidth="1"/>
    <col min="10" max="10" width="13.28515625" style="109" customWidth="1"/>
    <col min="11" max="11" width="15.7109375" style="46" customWidth="1"/>
    <col min="12" max="12" width="16.85546875" style="109" customWidth="1"/>
    <col min="13" max="13" width="17" style="109" customWidth="1"/>
    <col min="14" max="14" width="17" style="46" customWidth="1"/>
    <col min="15" max="16384" width="9.140625" style="46"/>
  </cols>
  <sheetData>
    <row r="1" spans="1:13">
      <c r="A1" s="47"/>
      <c r="B1" s="48"/>
      <c r="C1" s="48"/>
      <c r="D1" s="48"/>
      <c r="E1" s="48"/>
      <c r="F1" s="48"/>
      <c r="G1" s="48"/>
      <c r="H1" s="48"/>
      <c r="I1" s="48"/>
      <c r="J1" s="169" t="s">
        <v>81</v>
      </c>
    </row>
    <row r="2" spans="1:13">
      <c r="A2" s="389" t="s">
        <v>80</v>
      </c>
      <c r="B2" s="390"/>
      <c r="C2" s="390"/>
      <c r="D2" s="390"/>
      <c r="E2" s="390"/>
      <c r="F2" s="390"/>
      <c r="G2" s="390"/>
      <c r="H2" s="390"/>
      <c r="I2" s="390"/>
      <c r="J2" s="391"/>
    </row>
    <row r="3" spans="1:13">
      <c r="A3" s="389" t="s">
        <v>277</v>
      </c>
      <c r="B3" s="390"/>
      <c r="C3" s="390"/>
      <c r="D3" s="390"/>
      <c r="E3" s="390"/>
      <c r="F3" s="390"/>
      <c r="G3" s="390"/>
      <c r="H3" s="390"/>
      <c r="I3" s="390"/>
      <c r="J3" s="391"/>
    </row>
    <row r="4" spans="1:13">
      <c r="A4" s="389"/>
      <c r="B4" s="390"/>
      <c r="C4" s="390"/>
      <c r="D4" s="390"/>
      <c r="E4" s="390"/>
      <c r="F4" s="390"/>
      <c r="G4" s="390"/>
      <c r="H4" s="390"/>
      <c r="I4" s="390"/>
      <c r="J4" s="391"/>
    </row>
    <row r="5" spans="1:13">
      <c r="A5" s="54" t="s">
        <v>77</v>
      </c>
      <c r="B5" s="268"/>
      <c r="C5" s="268"/>
      <c r="D5" s="268"/>
      <c r="E5" s="268"/>
      <c r="F5" s="268"/>
      <c r="G5" s="268"/>
      <c r="H5" s="268"/>
      <c r="I5" s="268"/>
      <c r="J5" s="170"/>
    </row>
    <row r="6" spans="1:13">
      <c r="A6" s="54" t="s">
        <v>76</v>
      </c>
      <c r="B6" s="55"/>
      <c r="C6" s="55"/>
      <c r="D6" s="55"/>
      <c r="E6" s="55"/>
      <c r="F6" s="55"/>
      <c r="G6" s="55"/>
      <c r="H6" s="55" t="s">
        <v>278</v>
      </c>
      <c r="I6" s="55"/>
      <c r="J6" s="171"/>
      <c r="K6" s="46" t="s">
        <v>210</v>
      </c>
    </row>
    <row r="7" spans="1:13">
      <c r="A7" s="47"/>
      <c r="B7" s="48"/>
      <c r="C7" s="48"/>
      <c r="D7" s="49"/>
      <c r="E7" s="88" t="s">
        <v>8</v>
      </c>
      <c r="F7" s="50"/>
      <c r="G7" s="52"/>
      <c r="H7" s="52"/>
      <c r="I7" s="53"/>
      <c r="J7" s="110"/>
    </row>
    <row r="8" spans="1:13">
      <c r="A8" s="54"/>
      <c r="B8" s="55"/>
      <c r="C8" s="55"/>
      <c r="D8" s="56"/>
      <c r="E8" s="267" t="s">
        <v>9</v>
      </c>
      <c r="F8" s="53"/>
      <c r="G8" s="59"/>
      <c r="H8" s="59"/>
      <c r="I8" s="58"/>
      <c r="J8" s="111"/>
    </row>
    <row r="9" spans="1:13">
      <c r="A9" s="61" t="s">
        <v>68</v>
      </c>
      <c r="B9" s="55"/>
      <c r="C9" s="55"/>
      <c r="D9" s="56"/>
      <c r="E9" s="267" t="s">
        <v>10</v>
      </c>
      <c r="F9" s="60" t="s">
        <v>12</v>
      </c>
      <c r="G9" s="60" t="s">
        <v>14</v>
      </c>
      <c r="H9" s="60" t="s">
        <v>20</v>
      </c>
      <c r="I9" s="60" t="s">
        <v>22</v>
      </c>
      <c r="J9" s="112" t="s">
        <v>24</v>
      </c>
    </row>
    <row r="10" spans="1:13">
      <c r="A10" s="54"/>
      <c r="B10" s="55"/>
      <c r="C10" s="55"/>
      <c r="D10" s="56"/>
      <c r="E10" s="267" t="s">
        <v>11</v>
      </c>
      <c r="F10" s="60" t="s">
        <v>13</v>
      </c>
      <c r="G10" s="59"/>
      <c r="H10" s="60" t="s">
        <v>21</v>
      </c>
      <c r="I10" s="60" t="s">
        <v>23</v>
      </c>
      <c r="J10" s="111"/>
    </row>
    <row r="11" spans="1:13">
      <c r="A11" s="62"/>
      <c r="B11" s="63"/>
      <c r="C11" s="63"/>
      <c r="D11" s="64"/>
      <c r="E11" s="65">
        <v>0.3</v>
      </c>
      <c r="F11" s="66">
        <v>0.7</v>
      </c>
      <c r="G11" s="59"/>
      <c r="H11" s="67"/>
      <c r="I11" s="68"/>
      <c r="J11" s="113"/>
    </row>
    <row r="12" spans="1:13" ht="18" customHeight="1">
      <c r="A12" s="70" t="s">
        <v>0</v>
      </c>
      <c r="B12" s="71"/>
      <c r="C12" s="71"/>
      <c r="D12" s="72"/>
      <c r="E12" s="51"/>
      <c r="F12" s="51"/>
      <c r="G12" s="51"/>
      <c r="H12" s="51"/>
      <c r="I12" s="51"/>
      <c r="J12" s="110"/>
      <c r="L12" s="118" t="s">
        <v>90</v>
      </c>
      <c r="M12" s="118" t="s">
        <v>89</v>
      </c>
    </row>
    <row r="13" spans="1:13" ht="18" customHeight="1">
      <c r="A13" s="73" t="s">
        <v>1</v>
      </c>
      <c r="B13" s="72"/>
      <c r="C13" s="72"/>
      <c r="D13" s="72"/>
      <c r="E13" s="94">
        <f>M19*0.3</f>
        <v>1518959.1916500002</v>
      </c>
      <c r="F13" s="94">
        <f>M19*0.7</f>
        <v>3544238.1138500003</v>
      </c>
      <c r="G13" s="94"/>
      <c r="H13" s="94"/>
      <c r="I13" s="94"/>
      <c r="J13" s="114">
        <f>SUM(E13:I13)</f>
        <v>5063197.3055000007</v>
      </c>
      <c r="K13" s="175" t="e">
        <f>SUM(J13+#REF!+#REF!+#REF!+#REF!+#REF!+#REF!+#REF!+#REF!+#REF!+#REF!+#REF!)</f>
        <v>#REF!</v>
      </c>
      <c r="L13" s="109">
        <v>21367644.399999999</v>
      </c>
      <c r="M13" s="109">
        <v>4171566.4</v>
      </c>
    </row>
    <row r="14" spans="1:13" ht="18" customHeight="1">
      <c r="A14" s="73" t="s">
        <v>2</v>
      </c>
      <c r="B14" s="72"/>
      <c r="C14" s="72"/>
      <c r="D14" s="72"/>
      <c r="E14" s="102"/>
      <c r="F14" s="102"/>
      <c r="G14" s="102"/>
      <c r="H14" s="102"/>
      <c r="I14" s="102"/>
      <c r="J14" s="110">
        <f>SUM(E14:I14)</f>
        <v>0</v>
      </c>
      <c r="K14" s="117" t="s">
        <v>88</v>
      </c>
      <c r="L14" s="109">
        <v>9400000</v>
      </c>
      <c r="M14" s="109">
        <v>5637398.9699999997</v>
      </c>
    </row>
    <row r="15" spans="1:13" ht="18" customHeight="1">
      <c r="A15" s="75" t="s">
        <v>3</v>
      </c>
      <c r="B15" s="48"/>
      <c r="C15" s="48"/>
      <c r="D15" s="48"/>
      <c r="E15" s="102"/>
      <c r="F15" s="102"/>
      <c r="G15" s="102"/>
      <c r="H15" s="102"/>
      <c r="I15" s="102"/>
      <c r="J15" s="110"/>
      <c r="L15" s="116">
        <f>SUM(L13:L14)</f>
        <v>30767644.399999999</v>
      </c>
      <c r="M15" s="116">
        <f>SUM(M13:M14)</f>
        <v>9808965.3699999992</v>
      </c>
    </row>
    <row r="16" spans="1:13" ht="18" customHeight="1">
      <c r="A16" s="76" t="s">
        <v>78</v>
      </c>
      <c r="B16" s="55"/>
      <c r="C16" s="55"/>
      <c r="D16" s="55"/>
      <c r="E16" s="103"/>
      <c r="F16" s="103"/>
      <c r="G16" s="103"/>
      <c r="H16" s="103"/>
      <c r="I16" s="103"/>
      <c r="J16" s="113">
        <f>SUM(E16:I16)</f>
        <v>0</v>
      </c>
      <c r="K16" s="46">
        <v>11930281.960000001</v>
      </c>
    </row>
    <row r="17" spans="1:13" ht="18" customHeight="1">
      <c r="A17" s="77" t="s">
        <v>79</v>
      </c>
      <c r="B17" s="72"/>
      <c r="C17" s="72"/>
      <c r="D17" s="72"/>
      <c r="E17" s="94"/>
      <c r="F17" s="94"/>
      <c r="G17" s="94"/>
      <c r="H17" s="94"/>
      <c r="I17" s="94"/>
      <c r="J17" s="113">
        <f>SUM(E17:I17)</f>
        <v>0</v>
      </c>
      <c r="K17" s="173">
        <f>K16-J16</f>
        <v>11930281.960000001</v>
      </c>
      <c r="M17" s="109">
        <v>25936573.030000001</v>
      </c>
    </row>
    <row r="18" spans="1:13" ht="18" customHeight="1">
      <c r="A18" s="70" t="s">
        <v>7</v>
      </c>
      <c r="B18" s="72"/>
      <c r="C18" s="72"/>
      <c r="D18" s="72"/>
      <c r="E18" s="119">
        <f>SUM(E13:E17)</f>
        <v>1518959.1916500002</v>
      </c>
      <c r="F18" s="119">
        <f t="shared" ref="F18:J18" si="0">SUM(F13:F17)</f>
        <v>3544238.1138500003</v>
      </c>
      <c r="G18" s="119">
        <f t="shared" si="0"/>
        <v>0</v>
      </c>
      <c r="H18" s="119">
        <f t="shared" si="0"/>
        <v>0</v>
      </c>
      <c r="I18" s="119">
        <f t="shared" si="0"/>
        <v>0</v>
      </c>
      <c r="J18" s="119">
        <f t="shared" si="0"/>
        <v>5063197.3055000007</v>
      </c>
      <c r="K18" s="166">
        <f t="shared" ref="K18:K45" si="1">SUM(E18:I18)</f>
        <v>5063197.3055000007</v>
      </c>
      <c r="L18" s="193" t="s">
        <v>171</v>
      </c>
      <c r="M18" s="192">
        <f>657334795.13-556070849.02</f>
        <v>101263946.11000001</v>
      </c>
    </row>
    <row r="19" spans="1:13" s="109" customFormat="1" ht="18" customHeight="1">
      <c r="A19" s="74" t="s">
        <v>99</v>
      </c>
      <c r="B19" s="72" t="s">
        <v>100</v>
      </c>
      <c r="C19" s="72"/>
      <c r="D19" s="72"/>
      <c r="E19" s="94">
        <f>SUM('DRRM Funds Nov''2015'!E46)</f>
        <v>17611195.934449997</v>
      </c>
      <c r="F19" s="94">
        <f>SUM('DRRM Funds Nov''2015'!F46)</f>
        <v>22298965.887049995</v>
      </c>
      <c r="G19" s="94">
        <f>SUM('DRRM Funds Nov''2015'!G46)</f>
        <v>0</v>
      </c>
      <c r="H19" s="94">
        <f>SUM('DRRM Funds Nov''2015'!H46)</f>
        <v>0</v>
      </c>
      <c r="I19" s="94">
        <f>SUM('DRRM Funds Nov''2015'!I46)</f>
        <v>0</v>
      </c>
      <c r="J19" s="94">
        <f>SUM('DRRM Funds Nov''2015'!J46)</f>
        <v>39910161.821499988</v>
      </c>
      <c r="K19" s="166">
        <f t="shared" si="1"/>
        <v>39910161.821499988</v>
      </c>
      <c r="L19" s="194">
        <v>0.05</v>
      </c>
      <c r="M19" s="269">
        <f>M18*0.05</f>
        <v>5063197.3055000007</v>
      </c>
    </row>
    <row r="20" spans="1:13" s="109" customFormat="1" ht="18" customHeight="1">
      <c r="A20" s="70" t="s">
        <v>101</v>
      </c>
      <c r="B20" s="122"/>
      <c r="C20" s="72"/>
      <c r="D20" s="72"/>
      <c r="E20" s="119">
        <f>SUM(E18:E19)</f>
        <v>19130155.126099996</v>
      </c>
      <c r="F20" s="119">
        <f t="shared" ref="F20:J20" si="2">SUM(F18:F19)</f>
        <v>25843204.000899997</v>
      </c>
      <c r="G20" s="119">
        <f t="shared" si="2"/>
        <v>0</v>
      </c>
      <c r="H20" s="119">
        <f t="shared" si="2"/>
        <v>0</v>
      </c>
      <c r="I20" s="119">
        <f t="shared" si="2"/>
        <v>0</v>
      </c>
      <c r="J20" s="119">
        <f t="shared" si="2"/>
        <v>44973359.126999989</v>
      </c>
      <c r="K20" s="166">
        <f t="shared" si="1"/>
        <v>44973359.126999989</v>
      </c>
    </row>
    <row r="21" spans="1:13" ht="18" customHeight="1">
      <c r="A21" s="70" t="s">
        <v>15</v>
      </c>
      <c r="B21" s="72"/>
      <c r="C21" s="72"/>
      <c r="D21" s="72"/>
      <c r="E21" s="94"/>
      <c r="F21" s="94"/>
      <c r="G21" s="94"/>
      <c r="H21" s="94"/>
      <c r="I21" s="94"/>
      <c r="J21" s="114"/>
      <c r="K21" s="166">
        <f t="shared" si="1"/>
        <v>0</v>
      </c>
      <c r="M21" s="109">
        <v>26972032.48</v>
      </c>
    </row>
    <row r="22" spans="1:13" ht="18" customHeight="1">
      <c r="A22" s="77" t="s">
        <v>206</v>
      </c>
      <c r="B22" s="263"/>
      <c r="C22" s="263"/>
      <c r="D22" s="263"/>
      <c r="E22" s="94"/>
      <c r="F22" s="94"/>
      <c r="G22" s="94"/>
      <c r="H22" s="94"/>
      <c r="I22" s="94"/>
      <c r="J22" s="114">
        <f>SUM(E22:I22)</f>
        <v>0</v>
      </c>
      <c r="K22" s="166"/>
    </row>
    <row r="23" spans="1:13" ht="18" customHeight="1">
      <c r="A23" s="77" t="s">
        <v>251</v>
      </c>
      <c r="B23" s="263"/>
      <c r="C23" s="263"/>
      <c r="D23" s="263"/>
      <c r="E23" s="94"/>
      <c r="F23" s="94"/>
      <c r="G23" s="94"/>
      <c r="H23" s="94"/>
      <c r="I23" s="94"/>
      <c r="J23" s="114">
        <f t="shared" ref="J23:J42" si="3">SUM(E23:I23)</f>
        <v>0</v>
      </c>
      <c r="K23" s="166">
        <f t="shared" si="1"/>
        <v>0</v>
      </c>
      <c r="L23" s="176">
        <f>518731460.56*0.05</f>
        <v>25936573.028000001</v>
      </c>
      <c r="M23" s="109">
        <v>125607.13</v>
      </c>
    </row>
    <row r="24" spans="1:13" ht="18" customHeight="1">
      <c r="A24" s="272" t="s">
        <v>229</v>
      </c>
      <c r="B24" s="273"/>
      <c r="C24" s="273"/>
      <c r="D24" s="273"/>
      <c r="E24" s="94"/>
      <c r="F24" s="94">
        <v>61070</v>
      </c>
      <c r="G24" s="94"/>
      <c r="H24" s="94"/>
      <c r="I24" s="94"/>
      <c r="J24" s="275">
        <f t="shared" si="3"/>
        <v>61070</v>
      </c>
      <c r="K24" s="166"/>
      <c r="L24" s="228"/>
    </row>
    <row r="25" spans="1:13" ht="18" customHeight="1">
      <c r="A25" s="272" t="s">
        <v>252</v>
      </c>
      <c r="B25" s="273"/>
      <c r="C25" s="273"/>
      <c r="D25" s="273"/>
      <c r="E25" s="94"/>
      <c r="F25" s="94">
        <v>578185.5</v>
      </c>
      <c r="G25" s="94"/>
      <c r="H25" s="94"/>
      <c r="I25" s="94"/>
      <c r="J25" s="275">
        <f t="shared" si="3"/>
        <v>578185.5</v>
      </c>
      <c r="K25" s="166">
        <f t="shared" si="1"/>
        <v>578185.5</v>
      </c>
      <c r="L25" s="109" t="e">
        <f>L23-K13</f>
        <v>#REF!</v>
      </c>
      <c r="M25" s="109">
        <v>510000</v>
      </c>
    </row>
    <row r="26" spans="1:13" ht="18" customHeight="1">
      <c r="A26" s="272" t="s">
        <v>276</v>
      </c>
      <c r="B26" s="273"/>
      <c r="C26" s="273"/>
      <c r="D26" s="273"/>
      <c r="E26" s="94"/>
      <c r="F26" s="94">
        <v>720977.52</v>
      </c>
      <c r="G26" s="94"/>
      <c r="H26" s="94"/>
      <c r="I26" s="94"/>
      <c r="J26" s="275">
        <f t="shared" si="3"/>
        <v>720977.52</v>
      </c>
      <c r="K26" s="166">
        <f t="shared" si="1"/>
        <v>720977.52</v>
      </c>
      <c r="M26" s="109">
        <v>1430000</v>
      </c>
    </row>
    <row r="27" spans="1:13" ht="18" customHeight="1">
      <c r="A27" s="274" t="s">
        <v>275</v>
      </c>
      <c r="B27" s="273"/>
      <c r="C27" s="273"/>
      <c r="D27" s="273"/>
      <c r="E27" s="94"/>
      <c r="F27" s="94">
        <v>290200</v>
      </c>
      <c r="G27" s="94"/>
      <c r="H27" s="94"/>
      <c r="I27" s="94"/>
      <c r="J27" s="275">
        <f t="shared" si="3"/>
        <v>290200</v>
      </c>
      <c r="K27" s="166">
        <f t="shared" si="1"/>
        <v>290200</v>
      </c>
      <c r="M27" s="109">
        <v>4285413.1100000003</v>
      </c>
    </row>
    <row r="28" spans="1:13" ht="18" customHeight="1">
      <c r="A28" s="77" t="s">
        <v>274</v>
      </c>
      <c r="B28" s="263"/>
      <c r="C28" s="263"/>
      <c r="D28" s="263"/>
      <c r="E28" s="94"/>
      <c r="F28" s="94"/>
      <c r="G28" s="94"/>
      <c r="H28" s="94"/>
      <c r="I28" s="94"/>
      <c r="J28" s="114">
        <f t="shared" si="3"/>
        <v>0</v>
      </c>
      <c r="K28" s="166">
        <f t="shared" si="1"/>
        <v>0</v>
      </c>
      <c r="M28" s="109">
        <v>3777930</v>
      </c>
    </row>
    <row r="29" spans="1:13" ht="18" customHeight="1">
      <c r="A29" s="77" t="s">
        <v>227</v>
      </c>
      <c r="B29" s="263"/>
      <c r="C29" s="263"/>
      <c r="D29" s="263"/>
      <c r="E29" s="94"/>
      <c r="F29" s="94"/>
      <c r="G29" s="94"/>
      <c r="H29" s="94"/>
      <c r="I29" s="94"/>
      <c r="J29" s="114">
        <f t="shared" si="3"/>
        <v>0</v>
      </c>
      <c r="K29" s="166">
        <f t="shared" si="1"/>
        <v>0</v>
      </c>
      <c r="L29" s="118" t="s">
        <v>162</v>
      </c>
      <c r="M29" s="109">
        <v>100</v>
      </c>
    </row>
    <row r="30" spans="1:13" ht="18" customHeight="1">
      <c r="A30" s="77" t="s">
        <v>273</v>
      </c>
      <c r="B30" s="263"/>
      <c r="C30" s="263"/>
      <c r="D30" s="263"/>
      <c r="E30" s="94"/>
      <c r="F30" s="94">
        <v>15800</v>
      </c>
      <c r="G30" s="94"/>
      <c r="H30" s="94"/>
      <c r="I30" s="94"/>
      <c r="J30" s="114">
        <f t="shared" si="3"/>
        <v>15800</v>
      </c>
      <c r="K30" s="166"/>
      <c r="L30" s="118"/>
    </row>
    <row r="31" spans="1:13" ht="18" customHeight="1">
      <c r="A31" s="77" t="s">
        <v>213</v>
      </c>
      <c r="B31" s="263"/>
      <c r="C31" s="263"/>
      <c r="D31" s="263"/>
      <c r="E31" s="94"/>
      <c r="F31" s="94"/>
      <c r="G31" s="94"/>
      <c r="H31" s="94"/>
      <c r="I31" s="94"/>
      <c r="J31" s="114">
        <f t="shared" si="3"/>
        <v>0</v>
      </c>
      <c r="K31" s="166"/>
      <c r="L31" s="118"/>
      <c r="M31" s="109">
        <f>SUM(M23:M29)</f>
        <v>10129050.24</v>
      </c>
    </row>
    <row r="32" spans="1:13" ht="18" customHeight="1">
      <c r="A32" s="77" t="s">
        <v>250</v>
      </c>
      <c r="B32" s="263"/>
      <c r="C32" s="263"/>
      <c r="D32" s="263"/>
      <c r="E32" s="94"/>
      <c r="F32" s="94"/>
      <c r="G32" s="94"/>
      <c r="H32" s="94"/>
      <c r="I32" s="94"/>
      <c r="J32" s="114">
        <f t="shared" si="3"/>
        <v>0</v>
      </c>
      <c r="K32" s="166"/>
      <c r="L32" s="118"/>
    </row>
    <row r="33" spans="1:13" ht="18" customHeight="1">
      <c r="A33" s="77" t="s">
        <v>214</v>
      </c>
      <c r="B33" s="263"/>
      <c r="C33" s="263"/>
      <c r="D33" s="263"/>
      <c r="E33" s="94"/>
      <c r="F33" s="94">
        <f>345985.81+1975000</f>
        <v>2320985.81</v>
      </c>
      <c r="G33" s="94"/>
      <c r="H33" s="94"/>
      <c r="I33" s="94"/>
      <c r="J33" s="114">
        <f t="shared" si="3"/>
        <v>2320985.81</v>
      </c>
      <c r="K33" s="227"/>
      <c r="L33" s="118"/>
    </row>
    <row r="34" spans="1:13" ht="18" customHeight="1">
      <c r="A34" s="77" t="s">
        <v>249</v>
      </c>
      <c r="B34" s="263"/>
      <c r="C34" s="263"/>
      <c r="D34" s="263"/>
      <c r="E34" s="94"/>
      <c r="F34" s="94">
        <f>199014.15+1214184.35</f>
        <v>1413198.5</v>
      </c>
      <c r="G34" s="94"/>
      <c r="H34" s="94"/>
      <c r="I34" s="94"/>
      <c r="J34" s="114">
        <f t="shared" si="3"/>
        <v>1413198.5</v>
      </c>
      <c r="K34" s="265"/>
      <c r="L34" s="118"/>
    </row>
    <row r="35" spans="1:13" ht="18" customHeight="1">
      <c r="A35" s="77" t="s">
        <v>222</v>
      </c>
      <c r="B35" s="263"/>
      <c r="C35" s="263"/>
      <c r="D35" s="263"/>
      <c r="E35" s="94"/>
      <c r="F35" s="94">
        <v>866800</v>
      </c>
      <c r="G35" s="94"/>
      <c r="H35" s="94"/>
      <c r="I35" s="94"/>
      <c r="J35" s="114">
        <f t="shared" si="3"/>
        <v>866800</v>
      </c>
      <c r="K35" s="266">
        <f t="shared" si="1"/>
        <v>866800</v>
      </c>
      <c r="L35" s="109">
        <f>SUM(F29:F35)</f>
        <v>4616784.3100000005</v>
      </c>
    </row>
    <row r="36" spans="1:13" ht="18" customHeight="1">
      <c r="A36" s="77" t="s">
        <v>223</v>
      </c>
      <c r="B36" s="263"/>
      <c r="C36" s="263"/>
      <c r="D36" s="263"/>
      <c r="E36" s="94"/>
      <c r="F36" s="94"/>
      <c r="G36" s="94"/>
      <c r="H36" s="94"/>
      <c r="I36" s="94"/>
      <c r="J36" s="114">
        <f t="shared" si="3"/>
        <v>0</v>
      </c>
      <c r="K36" s="166">
        <f t="shared" si="1"/>
        <v>0</v>
      </c>
      <c r="L36" s="109">
        <v>147060</v>
      </c>
    </row>
    <row r="37" spans="1:13" ht="18" customHeight="1">
      <c r="A37" s="77" t="s">
        <v>168</v>
      </c>
      <c r="B37" s="263"/>
      <c r="C37" s="263"/>
      <c r="D37" s="263"/>
      <c r="E37" s="94"/>
      <c r="F37" s="94"/>
      <c r="G37" s="94"/>
      <c r="H37" s="94"/>
      <c r="I37" s="94"/>
      <c r="J37" s="114">
        <f t="shared" si="3"/>
        <v>0</v>
      </c>
      <c r="K37" s="166">
        <f t="shared" si="1"/>
        <v>0</v>
      </c>
    </row>
    <row r="38" spans="1:13" ht="18" customHeight="1">
      <c r="A38" s="77" t="s">
        <v>208</v>
      </c>
      <c r="B38" s="263"/>
      <c r="C38" s="263"/>
      <c r="D38" s="263"/>
      <c r="E38" s="94"/>
      <c r="F38" s="94"/>
      <c r="G38" s="94"/>
      <c r="H38" s="94"/>
      <c r="I38" s="94"/>
      <c r="J38" s="114">
        <f t="shared" si="3"/>
        <v>0</v>
      </c>
      <c r="K38" s="166">
        <f t="shared" si="1"/>
        <v>0</v>
      </c>
      <c r="L38" s="109">
        <v>1555500</v>
      </c>
    </row>
    <row r="39" spans="1:13" ht="18" customHeight="1">
      <c r="A39" s="272" t="s">
        <v>207</v>
      </c>
      <c r="B39" s="273"/>
      <c r="C39" s="273"/>
      <c r="D39" s="273"/>
      <c r="E39" s="94"/>
      <c r="F39" s="94">
        <v>179630</v>
      </c>
      <c r="G39" s="94"/>
      <c r="H39" s="94"/>
      <c r="I39" s="94"/>
      <c r="J39" s="275">
        <f t="shared" si="3"/>
        <v>179630</v>
      </c>
      <c r="K39" s="166"/>
    </row>
    <row r="40" spans="1:13" ht="18" customHeight="1">
      <c r="A40" s="83" t="s">
        <v>94</v>
      </c>
      <c r="B40" s="263"/>
      <c r="C40" s="263"/>
      <c r="D40" s="263"/>
      <c r="E40" s="94"/>
      <c r="F40" s="94"/>
      <c r="G40" s="94"/>
      <c r="H40" s="94"/>
      <c r="I40" s="94"/>
      <c r="J40" s="114">
        <f t="shared" si="3"/>
        <v>0</v>
      </c>
      <c r="K40" s="166">
        <f t="shared" si="1"/>
        <v>0</v>
      </c>
      <c r="L40" s="109">
        <v>177000</v>
      </c>
    </row>
    <row r="41" spans="1:13" ht="18" customHeight="1">
      <c r="A41" s="83" t="s">
        <v>95</v>
      </c>
      <c r="B41" s="263"/>
      <c r="C41" s="263"/>
      <c r="D41" s="263"/>
      <c r="E41" s="94"/>
      <c r="F41" s="94"/>
      <c r="G41" s="94"/>
      <c r="H41" s="94"/>
      <c r="I41" s="94"/>
      <c r="J41" s="114">
        <f t="shared" si="3"/>
        <v>0</v>
      </c>
      <c r="K41" s="166">
        <f t="shared" si="1"/>
        <v>0</v>
      </c>
      <c r="L41" s="109">
        <v>204055</v>
      </c>
    </row>
    <row r="42" spans="1:13" ht="18" customHeight="1">
      <c r="A42" s="77" t="s">
        <v>96</v>
      </c>
      <c r="B42" s="263"/>
      <c r="C42" s="263"/>
      <c r="D42" s="263"/>
      <c r="E42" s="94"/>
      <c r="F42" s="94"/>
      <c r="G42" s="94"/>
      <c r="H42" s="94"/>
      <c r="I42" s="94"/>
      <c r="J42" s="114">
        <f t="shared" si="3"/>
        <v>0</v>
      </c>
      <c r="K42" s="166">
        <f t="shared" si="1"/>
        <v>0</v>
      </c>
      <c r="L42" s="109">
        <v>71070</v>
      </c>
    </row>
    <row r="43" spans="1:13" ht="18" customHeight="1">
      <c r="A43" s="84" t="s">
        <v>92</v>
      </c>
      <c r="B43" s="63"/>
      <c r="C43" s="63"/>
      <c r="D43" s="63"/>
      <c r="E43" s="94">
        <f t="shared" ref="E43:J43" si="4">SUM(E22:E42)</f>
        <v>0</v>
      </c>
      <c r="F43" s="94">
        <f t="shared" si="4"/>
        <v>6446847.3300000001</v>
      </c>
      <c r="G43" s="94">
        <f t="shared" si="4"/>
        <v>0</v>
      </c>
      <c r="H43" s="94">
        <f t="shared" si="4"/>
        <v>0</v>
      </c>
      <c r="I43" s="94">
        <f t="shared" si="4"/>
        <v>0</v>
      </c>
      <c r="J43" s="94">
        <f t="shared" si="4"/>
        <v>6446847.3300000001</v>
      </c>
      <c r="K43" s="166">
        <f t="shared" si="1"/>
        <v>6446847.3300000001</v>
      </c>
      <c r="L43" s="109">
        <v>27800</v>
      </c>
      <c r="M43" s="46"/>
    </row>
    <row r="44" spans="1:13" ht="18" customHeight="1">
      <c r="A44" s="84" t="s">
        <v>103</v>
      </c>
      <c r="B44" s="63"/>
      <c r="C44" s="63"/>
      <c r="D44" s="63"/>
      <c r="E44" s="103">
        <f>SUM('DRRM Funds Nov''2015'!E45)</f>
        <v>0</v>
      </c>
      <c r="F44" s="103">
        <f>SUM('DRRM Funds Nov''2015'!F45)</f>
        <v>19190361.689999998</v>
      </c>
      <c r="G44" s="103">
        <f>SUM('DRRM Funds Nov''2015'!G45)</f>
        <v>0</v>
      </c>
      <c r="H44" s="103">
        <f>SUM('DRRM Funds Nov''2015'!H45)</f>
        <v>0</v>
      </c>
      <c r="I44" s="103">
        <f>SUM('DRRM Funds Nov''2015'!I45)</f>
        <v>0</v>
      </c>
      <c r="J44" s="103">
        <f>SUM('DRRM Funds Nov''2015'!J45)</f>
        <v>19190361.689999998</v>
      </c>
      <c r="K44" s="166">
        <f t="shared" si="1"/>
        <v>19190361.689999998</v>
      </c>
      <c r="L44" s="109">
        <v>126865</v>
      </c>
      <c r="M44" s="109">
        <f>SUM(E44:H44)</f>
        <v>19190361.689999998</v>
      </c>
    </row>
    <row r="45" spans="1:13" ht="18" customHeight="1">
      <c r="A45" s="84" t="s">
        <v>104</v>
      </c>
      <c r="B45" s="63"/>
      <c r="C45" s="63"/>
      <c r="D45" s="63"/>
      <c r="E45" s="103">
        <f>SUM(E43:E44)</f>
        <v>0</v>
      </c>
      <c r="F45" s="103">
        <f>SUM(F43:F44)</f>
        <v>25637209.019999996</v>
      </c>
      <c r="G45" s="103">
        <f t="shared" ref="G45:J45" si="5">SUM(G43:G44)</f>
        <v>0</v>
      </c>
      <c r="H45" s="103">
        <f t="shared" si="5"/>
        <v>0</v>
      </c>
      <c r="I45" s="103">
        <f t="shared" si="5"/>
        <v>0</v>
      </c>
      <c r="J45" s="271">
        <f t="shared" si="5"/>
        <v>25637209.019999996</v>
      </c>
      <c r="K45" s="166">
        <f t="shared" si="1"/>
        <v>25637209.019999996</v>
      </c>
      <c r="L45" s="174">
        <f>SUM(L35:L44)</f>
        <v>6926134.3100000005</v>
      </c>
      <c r="M45" s="109">
        <v>10492358.970000001</v>
      </c>
    </row>
    <row r="46" spans="1:13" ht="18" customHeight="1">
      <c r="A46" s="70" t="s">
        <v>93</v>
      </c>
      <c r="B46" s="72"/>
      <c r="C46" s="72"/>
      <c r="D46" s="80"/>
      <c r="E46" s="231">
        <f t="shared" ref="E46:J46" si="6">E20-E43</f>
        <v>19130155.126099996</v>
      </c>
      <c r="F46" s="231">
        <f t="shared" si="6"/>
        <v>19396356.670899995</v>
      </c>
      <c r="G46" s="231">
        <f t="shared" si="6"/>
        <v>0</v>
      </c>
      <c r="H46" s="231">
        <f t="shared" si="6"/>
        <v>0</v>
      </c>
      <c r="I46" s="231">
        <f t="shared" si="6"/>
        <v>0</v>
      </c>
      <c r="J46" s="231">
        <f t="shared" si="6"/>
        <v>38526511.796999991</v>
      </c>
      <c r="K46" s="166">
        <f>SUM(E46:I46)</f>
        <v>38526511.796999991</v>
      </c>
      <c r="L46" s="46"/>
      <c r="M46" s="109">
        <f>M45-L45</f>
        <v>3566224.66</v>
      </c>
    </row>
    <row r="47" spans="1:13" ht="18" customHeight="1">
      <c r="A47" s="55"/>
      <c r="B47" s="55"/>
      <c r="C47" s="55"/>
      <c r="D47" s="55"/>
      <c r="E47" s="55"/>
      <c r="F47" s="55"/>
      <c r="G47" s="55"/>
      <c r="H47" s="55"/>
      <c r="I47" s="55"/>
      <c r="J47" s="115" t="s">
        <v>74</v>
      </c>
      <c r="K47" s="92">
        <f>SUM(E46:F46)</f>
        <v>38526511.796999991</v>
      </c>
      <c r="M47" s="109">
        <v>0</v>
      </c>
    </row>
    <row r="48" spans="1:13">
      <c r="A48" s="55" t="s">
        <v>83</v>
      </c>
      <c r="B48" s="55"/>
      <c r="C48" s="55"/>
      <c r="D48" s="55"/>
      <c r="E48" s="55"/>
      <c r="F48" s="55"/>
      <c r="G48" s="55"/>
      <c r="H48" s="55" t="s">
        <v>29</v>
      </c>
      <c r="I48" s="55"/>
      <c r="J48" s="115"/>
      <c r="K48" s="55"/>
      <c r="L48" s="109">
        <v>752760</v>
      </c>
    </row>
    <row r="49" spans="1:13">
      <c r="A49" s="55"/>
      <c r="B49" s="55"/>
      <c r="C49" s="55"/>
      <c r="D49" s="55"/>
      <c r="E49" s="55"/>
      <c r="F49" s="55"/>
      <c r="G49" s="55"/>
      <c r="H49" s="55"/>
      <c r="I49" s="55"/>
      <c r="J49" s="115"/>
      <c r="K49" s="55"/>
      <c r="L49" s="109">
        <v>902075</v>
      </c>
    </row>
    <row r="50" spans="1:13">
      <c r="A50" s="82" t="s">
        <v>202</v>
      </c>
      <c r="B50" s="55"/>
      <c r="C50" s="55"/>
      <c r="D50" s="55"/>
      <c r="E50" s="55"/>
      <c r="F50" s="55"/>
      <c r="G50" s="55"/>
      <c r="H50" s="241" t="s">
        <v>194</v>
      </c>
      <c r="I50" s="55"/>
      <c r="J50" s="115"/>
      <c r="K50" s="55"/>
      <c r="L50" s="109">
        <v>504234.65</v>
      </c>
      <c r="M50" s="109">
        <v>8736531.7100000009</v>
      </c>
    </row>
    <row r="51" spans="1:13">
      <c r="A51" s="140" t="s">
        <v>203</v>
      </c>
      <c r="B51" s="55"/>
      <c r="C51" s="55"/>
      <c r="D51" s="55"/>
      <c r="E51" s="55"/>
      <c r="F51" s="55"/>
      <c r="G51" s="55"/>
      <c r="H51" s="140" t="s">
        <v>195</v>
      </c>
      <c r="I51" s="55"/>
      <c r="J51" s="115"/>
      <c r="K51" s="55"/>
      <c r="L51" s="109">
        <v>899145</v>
      </c>
      <c r="M51" s="109">
        <v>10140</v>
      </c>
    </row>
    <row r="52" spans="1:13">
      <c r="A52" s="55"/>
      <c r="B52" s="55"/>
      <c r="C52" s="55"/>
      <c r="D52" s="55"/>
      <c r="E52" s="121" t="s">
        <v>237</v>
      </c>
      <c r="F52" s="55"/>
      <c r="G52" s="55"/>
      <c r="H52" s="55"/>
      <c r="I52" s="55"/>
      <c r="J52" s="115"/>
      <c r="K52" s="55"/>
      <c r="L52" s="109">
        <v>1087927.3999999999</v>
      </c>
      <c r="M52" s="109">
        <f>SUM(M50:M51)</f>
        <v>8746671.7100000009</v>
      </c>
    </row>
    <row r="53" spans="1:13">
      <c r="A53" s="55"/>
      <c r="B53" s="55"/>
      <c r="C53" s="55"/>
      <c r="D53" s="55"/>
      <c r="E53" s="115"/>
      <c r="F53" s="55"/>
      <c r="G53" s="55"/>
      <c r="H53" s="55"/>
      <c r="I53" s="115"/>
      <c r="J53" s="115"/>
      <c r="K53" s="55"/>
      <c r="L53" s="109">
        <v>2896515.5</v>
      </c>
    </row>
    <row r="54" spans="1:13">
      <c r="A54" s="55"/>
      <c r="B54" s="55"/>
      <c r="C54" s="55"/>
      <c r="D54" s="55"/>
      <c r="E54" s="82" t="s">
        <v>149</v>
      </c>
      <c r="F54" s="55"/>
      <c r="G54" s="55"/>
      <c r="H54" s="55"/>
      <c r="I54" s="115"/>
      <c r="J54" s="115"/>
      <c r="K54" s="55"/>
    </row>
    <row r="55" spans="1:13">
      <c r="A55" s="55"/>
      <c r="B55" s="55"/>
      <c r="C55" s="55"/>
      <c r="D55" s="55"/>
      <c r="E55" s="55" t="s">
        <v>238</v>
      </c>
      <c r="F55" s="55"/>
      <c r="G55" s="55"/>
      <c r="H55" s="55"/>
      <c r="I55" s="115"/>
      <c r="J55" s="115"/>
      <c r="K55" s="55"/>
      <c r="L55" s="109">
        <v>120000</v>
      </c>
    </row>
    <row r="56" spans="1:13">
      <c r="I56" s="109"/>
      <c r="M56" s="46"/>
    </row>
    <row r="57" spans="1:13">
      <c r="F57" s="121"/>
      <c r="I57" s="109"/>
      <c r="K57" s="55"/>
      <c r="L57" s="115">
        <v>630000</v>
      </c>
      <c r="M57" s="183">
        <v>10644424.82</v>
      </c>
    </row>
    <row r="58" spans="1:13">
      <c r="B58" s="276" t="s">
        <v>236</v>
      </c>
      <c r="F58" s="115"/>
      <c r="I58" s="109"/>
      <c r="J58" s="109">
        <v>7850000</v>
      </c>
      <c r="L58" s="109">
        <v>1000000</v>
      </c>
      <c r="M58" s="183">
        <v>13157941.960000001</v>
      </c>
    </row>
    <row r="59" spans="1:13">
      <c r="I59" s="109"/>
      <c r="J59" s="109">
        <v>800000</v>
      </c>
      <c r="L59" s="109">
        <v>1300000</v>
      </c>
      <c r="M59" s="184">
        <v>0</v>
      </c>
    </row>
    <row r="60" spans="1:13">
      <c r="A60" s="46" t="s">
        <v>282</v>
      </c>
      <c r="B60" s="392">
        <f>1493800+99900</f>
        <v>1593700</v>
      </c>
      <c r="C60" s="392"/>
      <c r="I60" s="109"/>
      <c r="J60" s="109">
        <v>1200000</v>
      </c>
      <c r="L60" s="109">
        <v>2000000</v>
      </c>
      <c r="M60" s="183">
        <f>SUM(M57:M59)</f>
        <v>23802366.780000001</v>
      </c>
    </row>
    <row r="61" spans="1:13">
      <c r="A61" s="46" t="s">
        <v>281</v>
      </c>
      <c r="B61" s="392">
        <v>1400000</v>
      </c>
      <c r="C61" s="392"/>
      <c r="I61" s="109"/>
      <c r="J61" s="109">
        <v>3500000</v>
      </c>
      <c r="L61" s="109">
        <v>150000</v>
      </c>
      <c r="M61" s="183">
        <v>24092226.780000001</v>
      </c>
    </row>
    <row r="62" spans="1:13">
      <c r="A62" s="46" t="s">
        <v>258</v>
      </c>
      <c r="B62" s="393">
        <v>1975000</v>
      </c>
      <c r="C62" s="393"/>
      <c r="I62" s="109">
        <v>100000</v>
      </c>
      <c r="J62" s="116">
        <f>SUM(J58:J61)</f>
        <v>13350000</v>
      </c>
      <c r="L62" s="109">
        <v>4590281.96</v>
      </c>
      <c r="M62" s="183">
        <f>M61-M60</f>
        <v>289860</v>
      </c>
    </row>
    <row r="63" spans="1:13">
      <c r="A63" s="46" t="s">
        <v>283</v>
      </c>
      <c r="B63" s="387">
        <v>1214184.3500000001</v>
      </c>
      <c r="C63" s="387"/>
      <c r="I63" s="109">
        <v>4589687.1100000003</v>
      </c>
      <c r="J63" s="109">
        <v>16829861.079999998</v>
      </c>
      <c r="L63" s="109">
        <f>SUM(L57:L62)</f>
        <v>9670281.9600000009</v>
      </c>
      <c r="M63" s="46"/>
    </row>
    <row r="64" spans="1:13">
      <c r="B64" s="388">
        <f>SUM(B60:C63)</f>
        <v>6182884.3499999996</v>
      </c>
      <c r="C64" s="388"/>
      <c r="I64" s="116">
        <f>SUM(I58:I63)</f>
        <v>4689687.1100000003</v>
      </c>
      <c r="J64" s="109">
        <f>J62-J63</f>
        <v>-3479861.0799999982</v>
      </c>
      <c r="M64" s="109">
        <v>24416573.030000001</v>
      </c>
    </row>
    <row r="65" spans="1:13">
      <c r="I65" s="109">
        <v>7212797.6100000003</v>
      </c>
      <c r="M65" s="109">
        <v>24708913.030000001</v>
      </c>
    </row>
    <row r="66" spans="1:13">
      <c r="I66" s="109">
        <f>I64-I65</f>
        <v>-2523110.5</v>
      </c>
      <c r="M66" s="109">
        <f>M64-M65</f>
        <v>-292340</v>
      </c>
    </row>
    <row r="67" spans="1:13">
      <c r="I67" s="109"/>
      <c r="M67" s="109">
        <v>289860</v>
      </c>
    </row>
    <row r="68" spans="1:13">
      <c r="I68" s="109"/>
      <c r="J68" s="109">
        <v>25346381.800000001</v>
      </c>
      <c r="M68" s="173">
        <f>SUM(M66:M67)</f>
        <v>-2480</v>
      </c>
    </row>
    <row r="69" spans="1:13">
      <c r="I69" s="109"/>
      <c r="J69" s="109">
        <v>24042658.690000001</v>
      </c>
      <c r="M69" s="46"/>
    </row>
    <row r="70" spans="1:13">
      <c r="I70" s="109"/>
      <c r="J70" s="109">
        <f>J68-J69</f>
        <v>1303723.1099999994</v>
      </c>
      <c r="L70" s="109">
        <v>400000</v>
      </c>
      <c r="M70" s="46"/>
    </row>
    <row r="71" spans="1:13">
      <c r="I71" s="109"/>
      <c r="L71" s="109">
        <v>1000000</v>
      </c>
      <c r="M71" s="109">
        <v>25279.7</v>
      </c>
    </row>
    <row r="72" spans="1:13">
      <c r="I72" s="109"/>
      <c r="M72" s="109">
        <v>27759.7</v>
      </c>
    </row>
    <row r="73" spans="1:13">
      <c r="H73" s="109"/>
      <c r="I73" s="109"/>
      <c r="M73" s="173">
        <f>M71-M72</f>
        <v>-2480</v>
      </c>
    </row>
    <row r="74" spans="1:13">
      <c r="H74" s="109">
        <v>4455551.57</v>
      </c>
      <c r="I74" s="109"/>
      <c r="J74" s="109">
        <v>17496381.800000001</v>
      </c>
      <c r="M74" s="46"/>
    </row>
    <row r="75" spans="1:13">
      <c r="H75" s="109">
        <v>5760963.6399999997</v>
      </c>
      <c r="I75" s="109"/>
      <c r="J75" s="109">
        <v>7850000</v>
      </c>
      <c r="M75" s="46"/>
    </row>
    <row r="76" spans="1:13">
      <c r="H76" s="109">
        <f>SUM(H74:H75)</f>
        <v>10216515.210000001</v>
      </c>
      <c r="I76" s="109"/>
      <c r="J76" s="109">
        <f>SUM(J74:J75)</f>
        <v>25346381.800000001</v>
      </c>
      <c r="M76" s="46"/>
    </row>
    <row r="77" spans="1:13" s="109" customFormat="1">
      <c r="A77" s="46"/>
      <c r="B77" s="46"/>
      <c r="C77" s="46"/>
      <c r="D77" s="46"/>
      <c r="E77" s="46"/>
      <c r="F77" s="46"/>
      <c r="G77" s="46"/>
    </row>
    <row r="78" spans="1:13" s="109" customFormat="1">
      <c r="A78" s="46"/>
      <c r="B78" s="46"/>
      <c r="C78" s="46"/>
      <c r="D78" s="46"/>
      <c r="E78" s="46"/>
      <c r="F78" s="46"/>
      <c r="G78" s="46"/>
    </row>
    <row r="79" spans="1:13" s="109" customFormat="1">
      <c r="A79" s="46"/>
      <c r="B79" s="46"/>
      <c r="C79" s="46"/>
      <c r="D79" s="46"/>
      <c r="E79" s="46"/>
      <c r="F79" s="46"/>
      <c r="G79" s="46"/>
    </row>
    <row r="80" spans="1:13" s="109" customFormat="1">
      <c r="A80" s="46"/>
      <c r="B80" s="46"/>
      <c r="C80" s="46"/>
      <c r="D80" s="46"/>
      <c r="E80" s="46"/>
      <c r="F80" s="46"/>
      <c r="G80" s="46"/>
    </row>
    <row r="81" spans="1:11" s="109" customFormat="1">
      <c r="A81" s="46"/>
      <c r="B81" s="46"/>
      <c r="C81" s="46"/>
      <c r="D81" s="46"/>
      <c r="E81" s="46"/>
      <c r="F81" s="46"/>
      <c r="G81" s="46"/>
    </row>
    <row r="82" spans="1:11" s="109" customFormat="1">
      <c r="A82" s="46"/>
      <c r="B82" s="46"/>
      <c r="C82" s="46"/>
      <c r="D82" s="46"/>
      <c r="E82" s="46"/>
      <c r="F82" s="46"/>
      <c r="G82" s="46"/>
    </row>
    <row r="83" spans="1:11" s="109" customFormat="1">
      <c r="A83" s="46"/>
      <c r="B83" s="46"/>
      <c r="C83" s="46"/>
      <c r="D83" s="46"/>
      <c r="E83" s="46"/>
      <c r="F83" s="46"/>
      <c r="G83" s="46"/>
      <c r="H83" s="46"/>
    </row>
    <row r="84" spans="1:11" s="109" customFormat="1">
      <c r="A84" s="46"/>
      <c r="B84" s="46"/>
      <c r="C84" s="46"/>
      <c r="D84" s="46"/>
      <c r="E84" s="46"/>
      <c r="F84" s="46"/>
      <c r="G84" s="46"/>
      <c r="H84" s="46"/>
    </row>
    <row r="85" spans="1:11" s="109" customFormat="1">
      <c r="A85" s="46"/>
      <c r="B85" s="46"/>
      <c r="C85" s="46"/>
      <c r="D85" s="46"/>
      <c r="E85" s="46"/>
      <c r="F85" s="46"/>
      <c r="G85" s="46"/>
      <c r="H85" s="46"/>
    </row>
    <row r="86" spans="1:11" s="109" customFormat="1">
      <c r="A86" s="46"/>
      <c r="B86" s="46"/>
      <c r="C86" s="46"/>
      <c r="D86" s="46"/>
      <c r="E86" s="46"/>
      <c r="F86" s="46"/>
      <c r="G86" s="46"/>
      <c r="H86" s="46"/>
    </row>
    <row r="87" spans="1:11" s="109" customFormat="1">
      <c r="A87" s="46"/>
      <c r="B87" s="46"/>
      <c r="C87" s="46"/>
      <c r="D87" s="46"/>
      <c r="E87" s="46"/>
      <c r="F87" s="46"/>
      <c r="G87" s="46"/>
      <c r="H87" s="46"/>
      <c r="K87" s="46"/>
    </row>
    <row r="88" spans="1:11" s="109" customFormat="1">
      <c r="A88" s="46"/>
      <c r="B88" s="46"/>
      <c r="C88" s="46"/>
      <c r="D88" s="46"/>
      <c r="E88" s="46"/>
      <c r="F88" s="46"/>
      <c r="G88" s="46"/>
      <c r="H88" s="46"/>
      <c r="K88" s="46"/>
    </row>
    <row r="89" spans="1:11" s="109" customFormat="1">
      <c r="A89" s="46"/>
      <c r="B89" s="46"/>
      <c r="C89" s="46"/>
      <c r="D89" s="46"/>
      <c r="E89" s="46"/>
      <c r="F89" s="46"/>
      <c r="G89" s="46"/>
      <c r="H89" s="46"/>
      <c r="K89" s="46"/>
    </row>
    <row r="90" spans="1:11" s="109" customFormat="1">
      <c r="A90" s="46"/>
      <c r="B90" s="46"/>
      <c r="C90" s="46"/>
      <c r="D90" s="46"/>
      <c r="E90" s="46"/>
      <c r="F90" s="46"/>
      <c r="G90" s="46"/>
      <c r="H90" s="46"/>
      <c r="K90" s="46"/>
    </row>
    <row r="91" spans="1:11" s="109" customFormat="1">
      <c r="A91" s="46"/>
      <c r="B91" s="46"/>
      <c r="C91" s="46"/>
      <c r="D91" s="46"/>
      <c r="E91" s="46"/>
      <c r="F91" s="46"/>
      <c r="G91" s="46"/>
      <c r="H91" s="46"/>
      <c r="K91" s="46"/>
    </row>
    <row r="92" spans="1:11" s="109" customFormat="1">
      <c r="A92" s="46"/>
      <c r="B92" s="46"/>
      <c r="C92" s="46"/>
      <c r="D92" s="46"/>
      <c r="E92" s="46"/>
      <c r="F92" s="46"/>
      <c r="G92" s="46"/>
      <c r="H92" s="46"/>
      <c r="K92" s="46"/>
    </row>
    <row r="93" spans="1:11" s="109" customFormat="1">
      <c r="A93" s="46"/>
      <c r="B93" s="46"/>
      <c r="C93" s="46"/>
      <c r="D93" s="46"/>
      <c r="E93" s="46"/>
      <c r="F93" s="46"/>
      <c r="G93" s="46"/>
      <c r="H93" s="46"/>
      <c r="K93" s="46"/>
    </row>
    <row r="94" spans="1:11" s="109" customFormat="1">
      <c r="A94" s="46"/>
      <c r="B94" s="46"/>
      <c r="C94" s="46"/>
      <c r="D94" s="46"/>
      <c r="E94" s="46"/>
      <c r="F94" s="46"/>
      <c r="G94" s="46"/>
      <c r="H94" s="46"/>
      <c r="K94" s="46"/>
    </row>
    <row r="95" spans="1:11" s="109" customFormat="1">
      <c r="A95" s="46"/>
      <c r="B95" s="46"/>
      <c r="C95" s="46"/>
      <c r="D95" s="46"/>
      <c r="E95" s="46"/>
      <c r="F95" s="46"/>
      <c r="G95" s="46"/>
      <c r="H95" s="46"/>
      <c r="K95" s="46"/>
    </row>
    <row r="96" spans="1:11" s="109" customFormat="1">
      <c r="A96" s="46"/>
      <c r="B96" s="46"/>
      <c r="C96" s="46"/>
      <c r="D96" s="46"/>
      <c r="E96" s="46"/>
      <c r="F96" s="46"/>
      <c r="G96" s="46"/>
      <c r="H96" s="46"/>
      <c r="K96" s="46"/>
    </row>
    <row r="97" spans="1:11" s="109" customFormat="1">
      <c r="A97" s="46"/>
      <c r="B97" s="46"/>
      <c r="C97" s="46"/>
      <c r="D97" s="46"/>
      <c r="E97" s="46"/>
      <c r="F97" s="46"/>
      <c r="G97" s="46"/>
      <c r="H97" s="46"/>
      <c r="K97" s="46"/>
    </row>
    <row r="98" spans="1:11" s="109" customFormat="1">
      <c r="A98" s="46"/>
      <c r="B98" s="46"/>
      <c r="C98" s="46"/>
      <c r="D98" s="46"/>
      <c r="E98" s="46"/>
      <c r="F98" s="46"/>
      <c r="G98" s="46"/>
      <c r="H98" s="46"/>
      <c r="K98" s="46"/>
    </row>
    <row r="99" spans="1:11" s="109" customFormat="1">
      <c r="A99" s="46"/>
      <c r="B99" s="46"/>
      <c r="C99" s="46"/>
      <c r="D99" s="46"/>
      <c r="E99" s="46"/>
      <c r="F99" s="46"/>
      <c r="G99" s="46"/>
      <c r="H99" s="46"/>
      <c r="K99" s="46"/>
    </row>
  </sheetData>
  <mergeCells count="8">
    <mergeCell ref="B62:C62"/>
    <mergeCell ref="B63:C63"/>
    <mergeCell ref="B64:C64"/>
    <mergeCell ref="A2:J2"/>
    <mergeCell ref="A3:J3"/>
    <mergeCell ref="A4:J4"/>
    <mergeCell ref="B60:C60"/>
    <mergeCell ref="B61:C61"/>
  </mergeCells>
  <printOptions horizontalCentered="1"/>
  <pageMargins left="0.02" right="0.15" top="0.39" bottom="0.1" header="0.21" footer="0.1"/>
  <pageSetup scale="84" orientation="portrait" horizontalDpi="4294967294" verticalDpi="30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M99"/>
  <sheetViews>
    <sheetView topLeftCell="A10" workbookViewId="0">
      <selection activeCell="M19" sqref="M19"/>
    </sheetView>
  </sheetViews>
  <sheetFormatPr defaultRowHeight="12.75"/>
  <cols>
    <col min="1" max="1" width="6" style="46" customWidth="1"/>
    <col min="2" max="3" width="9.140625" style="46"/>
    <col min="4" max="4" width="16.5703125" style="46" customWidth="1"/>
    <col min="5" max="6" width="13.85546875" style="46" customWidth="1"/>
    <col min="7" max="7" width="10" style="46" customWidth="1"/>
    <col min="8" max="8" width="11.5703125" style="46" customWidth="1"/>
    <col min="9" max="9" width="11.42578125" style="46" customWidth="1"/>
    <col min="10" max="10" width="13.28515625" style="109" customWidth="1"/>
    <col min="11" max="11" width="15.7109375" style="46" customWidth="1"/>
    <col min="12" max="12" width="16.85546875" style="109" customWidth="1"/>
    <col min="13" max="13" width="17" style="109" customWidth="1"/>
    <col min="14" max="14" width="17" style="46" customWidth="1"/>
    <col min="15" max="16384" width="9.140625" style="46"/>
  </cols>
  <sheetData>
    <row r="1" spans="1:13">
      <c r="A1" s="47"/>
      <c r="B1" s="48"/>
      <c r="C1" s="48"/>
      <c r="D1" s="48"/>
      <c r="E1" s="48"/>
      <c r="F1" s="48"/>
      <c r="G1" s="48"/>
      <c r="H1" s="48"/>
      <c r="I1" s="48"/>
      <c r="J1" s="169" t="s">
        <v>81</v>
      </c>
    </row>
    <row r="2" spans="1:13">
      <c r="A2" s="389" t="s">
        <v>80</v>
      </c>
      <c r="B2" s="390"/>
      <c r="C2" s="390"/>
      <c r="D2" s="390"/>
      <c r="E2" s="390"/>
      <c r="F2" s="390"/>
      <c r="G2" s="390"/>
      <c r="H2" s="390"/>
      <c r="I2" s="390"/>
      <c r="J2" s="391"/>
    </row>
    <row r="3" spans="1:13">
      <c r="A3" s="389" t="s">
        <v>272</v>
      </c>
      <c r="B3" s="390"/>
      <c r="C3" s="390"/>
      <c r="D3" s="390"/>
      <c r="E3" s="390"/>
      <c r="F3" s="390"/>
      <c r="G3" s="390"/>
      <c r="H3" s="390"/>
      <c r="I3" s="390"/>
      <c r="J3" s="391"/>
    </row>
    <row r="4" spans="1:13">
      <c r="A4" s="389"/>
      <c r="B4" s="390"/>
      <c r="C4" s="390"/>
      <c r="D4" s="390"/>
      <c r="E4" s="390"/>
      <c r="F4" s="390"/>
      <c r="G4" s="390"/>
      <c r="H4" s="390"/>
      <c r="I4" s="390"/>
      <c r="J4" s="391"/>
    </row>
    <row r="5" spans="1:13">
      <c r="A5" s="54" t="s">
        <v>77</v>
      </c>
      <c r="B5" s="259"/>
      <c r="C5" s="259"/>
      <c r="D5" s="259"/>
      <c r="E5" s="259"/>
      <c r="F5" s="259"/>
      <c r="G5" s="259"/>
      <c r="H5" s="259"/>
      <c r="I5" s="259"/>
      <c r="J5" s="170"/>
    </row>
    <row r="6" spans="1:13">
      <c r="A6" s="54" t="s">
        <v>76</v>
      </c>
      <c r="B6" s="55"/>
      <c r="C6" s="55"/>
      <c r="D6" s="55"/>
      <c r="E6" s="55"/>
      <c r="F6" s="55"/>
      <c r="G6" s="55"/>
      <c r="H6" s="55"/>
      <c r="I6" s="55"/>
      <c r="J6" s="171"/>
      <c r="K6" s="46" t="s">
        <v>210</v>
      </c>
    </row>
    <row r="7" spans="1:13">
      <c r="A7" s="47"/>
      <c r="B7" s="48"/>
      <c r="C7" s="48"/>
      <c r="D7" s="49"/>
      <c r="E7" s="88" t="s">
        <v>8</v>
      </c>
      <c r="F7" s="50"/>
      <c r="G7" s="52"/>
      <c r="H7" s="52"/>
      <c r="I7" s="53"/>
      <c r="J7" s="110"/>
    </row>
    <row r="8" spans="1:13">
      <c r="A8" s="54"/>
      <c r="B8" s="55"/>
      <c r="C8" s="55"/>
      <c r="D8" s="56"/>
      <c r="E8" s="258" t="s">
        <v>9</v>
      </c>
      <c r="F8" s="53"/>
      <c r="G8" s="59"/>
      <c r="H8" s="59"/>
      <c r="I8" s="58"/>
      <c r="J8" s="111"/>
    </row>
    <row r="9" spans="1:13">
      <c r="A9" s="61" t="s">
        <v>68</v>
      </c>
      <c r="B9" s="55"/>
      <c r="C9" s="55"/>
      <c r="D9" s="56"/>
      <c r="E9" s="258" t="s">
        <v>10</v>
      </c>
      <c r="F9" s="60" t="s">
        <v>12</v>
      </c>
      <c r="G9" s="60" t="s">
        <v>14</v>
      </c>
      <c r="H9" s="60" t="s">
        <v>20</v>
      </c>
      <c r="I9" s="60" t="s">
        <v>22</v>
      </c>
      <c r="J9" s="112" t="s">
        <v>24</v>
      </c>
    </row>
    <row r="10" spans="1:13">
      <c r="A10" s="54"/>
      <c r="B10" s="55"/>
      <c r="C10" s="55"/>
      <c r="D10" s="56"/>
      <c r="E10" s="258" t="s">
        <v>11</v>
      </c>
      <c r="F10" s="60" t="s">
        <v>13</v>
      </c>
      <c r="G10" s="59"/>
      <c r="H10" s="60" t="s">
        <v>21</v>
      </c>
      <c r="I10" s="60" t="s">
        <v>23</v>
      </c>
      <c r="J10" s="111"/>
    </row>
    <row r="11" spans="1:13">
      <c r="A11" s="62"/>
      <c r="B11" s="63"/>
      <c r="C11" s="63"/>
      <c r="D11" s="64"/>
      <c r="E11" s="65">
        <v>0.3</v>
      </c>
      <c r="F11" s="66">
        <v>0.7</v>
      </c>
      <c r="G11" s="59"/>
      <c r="H11" s="67"/>
      <c r="I11" s="68"/>
      <c r="J11" s="113"/>
    </row>
    <row r="12" spans="1:13" ht="18" customHeight="1">
      <c r="A12" s="70" t="s">
        <v>0</v>
      </c>
      <c r="B12" s="71"/>
      <c r="C12" s="71"/>
      <c r="D12" s="72"/>
      <c r="E12" s="51"/>
      <c r="F12" s="51"/>
      <c r="G12" s="51"/>
      <c r="H12" s="51"/>
      <c r="I12" s="51"/>
      <c r="J12" s="110"/>
      <c r="L12" s="118" t="s">
        <v>90</v>
      </c>
      <c r="M12" s="118" t="s">
        <v>89</v>
      </c>
    </row>
    <row r="13" spans="1:13" ht="18" customHeight="1">
      <c r="A13" s="73" t="s">
        <v>1</v>
      </c>
      <c r="B13" s="72"/>
      <c r="C13" s="72"/>
      <c r="D13" s="72"/>
      <c r="E13" s="94">
        <f>M19*0.3</f>
        <v>85255.817549999367</v>
      </c>
      <c r="F13" s="94">
        <f>M19*0.7</f>
        <v>198930.24094999852</v>
      </c>
      <c r="G13" s="94"/>
      <c r="H13" s="94"/>
      <c r="I13" s="94"/>
      <c r="J13" s="114">
        <f>SUM(E13:I13)</f>
        <v>284186.05849999789</v>
      </c>
      <c r="K13" s="175" t="e">
        <f>SUM(J13+#REF!+#REF!+#REF!+#REF!+#REF!+#REF!+#REF!+#REF!+#REF!+#REF!+#REF!)</f>
        <v>#REF!</v>
      </c>
      <c r="L13" s="109">
        <v>21367644.399999999</v>
      </c>
      <c r="M13" s="109">
        <v>4171566.4</v>
      </c>
    </row>
    <row r="14" spans="1:13" ht="18" customHeight="1">
      <c r="A14" s="73" t="s">
        <v>2</v>
      </c>
      <c r="B14" s="72"/>
      <c r="C14" s="72"/>
      <c r="D14" s="72"/>
      <c r="E14" s="102"/>
      <c r="F14" s="102"/>
      <c r="G14" s="102"/>
      <c r="H14" s="102"/>
      <c r="I14" s="102"/>
      <c r="J14" s="110">
        <f>SUM(E14:I14)</f>
        <v>0</v>
      </c>
      <c r="K14" s="117" t="s">
        <v>88</v>
      </c>
      <c r="L14" s="109">
        <v>9400000</v>
      </c>
      <c r="M14" s="109">
        <v>5637398.9699999997</v>
      </c>
    </row>
    <row r="15" spans="1:13" ht="18" customHeight="1">
      <c r="A15" s="75" t="s">
        <v>3</v>
      </c>
      <c r="B15" s="48"/>
      <c r="C15" s="48"/>
      <c r="D15" s="48"/>
      <c r="E15" s="102"/>
      <c r="F15" s="102"/>
      <c r="G15" s="102"/>
      <c r="H15" s="102"/>
      <c r="I15" s="102"/>
      <c r="J15" s="110"/>
      <c r="L15" s="116">
        <f>SUM(L13:L14)</f>
        <v>30767644.399999999</v>
      </c>
      <c r="M15" s="116">
        <f>SUM(M13:M14)</f>
        <v>9808965.3699999992</v>
      </c>
    </row>
    <row r="16" spans="1:13" ht="18" customHeight="1">
      <c r="A16" s="76" t="s">
        <v>78</v>
      </c>
      <c r="B16" s="55"/>
      <c r="C16" s="55"/>
      <c r="D16" s="55"/>
      <c r="E16" s="103"/>
      <c r="F16" s="103"/>
      <c r="G16" s="103"/>
      <c r="H16" s="103"/>
      <c r="I16" s="103"/>
      <c r="J16" s="113">
        <f>SUM(E16:I16)</f>
        <v>0</v>
      </c>
      <c r="K16" s="46">
        <v>11930281.960000001</v>
      </c>
    </row>
    <row r="17" spans="1:13" ht="18" customHeight="1">
      <c r="A17" s="77" t="s">
        <v>79</v>
      </c>
      <c r="B17" s="72"/>
      <c r="C17" s="72"/>
      <c r="D17" s="72"/>
      <c r="E17" s="94"/>
      <c r="F17" s="94"/>
      <c r="G17" s="94"/>
      <c r="H17" s="94"/>
      <c r="I17" s="94"/>
      <c r="J17" s="113">
        <f>SUM(E17:I17)</f>
        <v>0</v>
      </c>
      <c r="K17" s="173">
        <f>K16-J16</f>
        <v>11930281.960000001</v>
      </c>
      <c r="M17" s="109">
        <v>25936573.030000001</v>
      </c>
    </row>
    <row r="18" spans="1:13" ht="18" customHeight="1">
      <c r="A18" s="70" t="s">
        <v>7</v>
      </c>
      <c r="B18" s="72"/>
      <c r="C18" s="72"/>
      <c r="D18" s="72"/>
      <c r="E18" s="119">
        <f>SUM(E13:E17)</f>
        <v>85255.817549999367</v>
      </c>
      <c r="F18" s="119">
        <f t="shared" ref="F18:J18" si="0">SUM(F13:F17)</f>
        <v>198930.24094999852</v>
      </c>
      <c r="G18" s="119">
        <f t="shared" si="0"/>
        <v>0</v>
      </c>
      <c r="H18" s="119">
        <f t="shared" si="0"/>
        <v>0</v>
      </c>
      <c r="I18" s="119">
        <f t="shared" si="0"/>
        <v>0</v>
      </c>
      <c r="J18" s="119">
        <f t="shared" si="0"/>
        <v>284186.05849999789</v>
      </c>
      <c r="K18" s="166">
        <f t="shared" ref="K18:K45" si="1">SUM(E18:I18)</f>
        <v>284186.05849999789</v>
      </c>
      <c r="L18" s="193" t="s">
        <v>171</v>
      </c>
      <c r="M18" s="192">
        <f>556070849.02-550387127.85</f>
        <v>5683721.1699999571</v>
      </c>
    </row>
    <row r="19" spans="1:13" s="109" customFormat="1" ht="18" customHeight="1">
      <c r="A19" s="74" t="s">
        <v>99</v>
      </c>
      <c r="B19" s="72" t="s">
        <v>100</v>
      </c>
      <c r="C19" s="72"/>
      <c r="D19" s="72"/>
      <c r="E19" s="94">
        <f>SUM('DRRM Funds Oct2015'!E45)</f>
        <v>17525940.116899997</v>
      </c>
      <c r="F19" s="94">
        <f>SUM('DRRM Funds Oct2015'!F45)</f>
        <v>23953178.636099994</v>
      </c>
      <c r="G19" s="94">
        <f>SUM('DRRM Funds Oct2015'!G45)</f>
        <v>0</v>
      </c>
      <c r="H19" s="94">
        <f>SUM('DRRM Funds Oct2015'!H45)</f>
        <v>0</v>
      </c>
      <c r="I19" s="94">
        <f>SUM('DRRM Funds Oct2015'!I45)</f>
        <v>0</v>
      </c>
      <c r="J19" s="94">
        <f>SUM('DRRM Funds Oct2015'!J45)</f>
        <v>41479118.752999991</v>
      </c>
      <c r="K19" s="166">
        <f t="shared" si="1"/>
        <v>41479118.752999991</v>
      </c>
      <c r="L19" s="194">
        <v>0.05</v>
      </c>
      <c r="M19" s="262">
        <f>M18*0.05</f>
        <v>284186.05849999789</v>
      </c>
    </row>
    <row r="20" spans="1:13" s="109" customFormat="1" ht="18" customHeight="1">
      <c r="A20" s="70" t="s">
        <v>101</v>
      </c>
      <c r="B20" s="122"/>
      <c r="C20" s="72"/>
      <c r="D20" s="72"/>
      <c r="E20" s="119">
        <f>SUM(E18:E19)</f>
        <v>17611195.934449997</v>
      </c>
      <c r="F20" s="119">
        <f t="shared" ref="F20:J20" si="2">SUM(F18:F19)</f>
        <v>24152108.877049994</v>
      </c>
      <c r="G20" s="119">
        <f t="shared" si="2"/>
        <v>0</v>
      </c>
      <c r="H20" s="119">
        <f t="shared" si="2"/>
        <v>0</v>
      </c>
      <c r="I20" s="119">
        <f t="shared" si="2"/>
        <v>0</v>
      </c>
      <c r="J20" s="119">
        <f t="shared" si="2"/>
        <v>41763304.811499991</v>
      </c>
      <c r="K20" s="166">
        <f t="shared" si="1"/>
        <v>41763304.811499991</v>
      </c>
    </row>
    <row r="21" spans="1:13" ht="18" customHeight="1">
      <c r="A21" s="70" t="s">
        <v>15</v>
      </c>
      <c r="B21" s="72"/>
      <c r="C21" s="72"/>
      <c r="D21" s="72"/>
      <c r="E21" s="94"/>
      <c r="F21" s="94"/>
      <c r="G21" s="94"/>
      <c r="H21" s="94"/>
      <c r="I21" s="94"/>
      <c r="J21" s="114"/>
      <c r="K21" s="166">
        <f t="shared" si="1"/>
        <v>0</v>
      </c>
      <c r="M21" s="109">
        <v>26972032.48</v>
      </c>
    </row>
    <row r="22" spans="1:13" ht="18" customHeight="1">
      <c r="A22" s="77" t="s">
        <v>206</v>
      </c>
      <c r="B22" s="263"/>
      <c r="C22" s="263"/>
      <c r="D22" s="263"/>
      <c r="E22" s="94"/>
      <c r="F22" s="94"/>
      <c r="G22" s="94"/>
      <c r="H22" s="94"/>
      <c r="I22" s="94"/>
      <c r="J22" s="114">
        <f>SUM(E22:I22)</f>
        <v>0</v>
      </c>
      <c r="K22" s="166"/>
    </row>
    <row r="23" spans="1:13" ht="18" customHeight="1">
      <c r="A23" s="77" t="s">
        <v>251</v>
      </c>
      <c r="B23" s="263"/>
      <c r="C23" s="263"/>
      <c r="D23" s="263"/>
      <c r="E23" s="94"/>
      <c r="F23" s="94"/>
      <c r="G23" s="94"/>
      <c r="H23" s="94"/>
      <c r="I23" s="94"/>
      <c r="J23" s="114">
        <f t="shared" ref="J23:J43" si="3">SUM(E23:I23)</f>
        <v>0</v>
      </c>
      <c r="K23" s="166">
        <f t="shared" si="1"/>
        <v>0</v>
      </c>
      <c r="L23" s="176">
        <f>518731460.56*0.05</f>
        <v>25936573.028000001</v>
      </c>
      <c r="M23" s="109">
        <v>125607.13</v>
      </c>
    </row>
    <row r="24" spans="1:13" ht="18" customHeight="1">
      <c r="A24" s="77" t="s">
        <v>229</v>
      </c>
      <c r="B24" s="263"/>
      <c r="C24" s="263"/>
      <c r="D24" s="263"/>
      <c r="E24" s="94"/>
      <c r="F24" s="94">
        <v>21000</v>
      </c>
      <c r="G24" s="94"/>
      <c r="H24" s="94"/>
      <c r="I24" s="94"/>
      <c r="J24" s="114">
        <f t="shared" si="3"/>
        <v>21000</v>
      </c>
      <c r="K24" s="166"/>
      <c r="L24" s="228"/>
    </row>
    <row r="25" spans="1:13" ht="18" customHeight="1">
      <c r="A25" s="77" t="s">
        <v>252</v>
      </c>
      <c r="B25" s="263"/>
      <c r="C25" s="263"/>
      <c r="D25" s="263"/>
      <c r="E25" s="94"/>
      <c r="F25" s="94">
        <v>292062.5</v>
      </c>
      <c r="G25" s="94"/>
      <c r="H25" s="94"/>
      <c r="I25" s="94"/>
      <c r="J25" s="114">
        <f t="shared" si="3"/>
        <v>292062.5</v>
      </c>
      <c r="K25" s="166">
        <f t="shared" si="1"/>
        <v>292062.5</v>
      </c>
      <c r="L25" s="109" t="e">
        <f>L23-K13</f>
        <v>#REF!</v>
      </c>
      <c r="M25" s="109">
        <v>510000</v>
      </c>
    </row>
    <row r="26" spans="1:13" ht="18" customHeight="1">
      <c r="A26" s="77" t="s">
        <v>276</v>
      </c>
      <c r="B26" s="263"/>
      <c r="C26" s="263"/>
      <c r="D26" s="263"/>
      <c r="E26" s="94"/>
      <c r="F26" s="94">
        <f>514288.64+37200</f>
        <v>551488.64</v>
      </c>
      <c r="G26" s="94"/>
      <c r="H26" s="94"/>
      <c r="I26" s="94"/>
      <c r="J26" s="114">
        <f t="shared" si="3"/>
        <v>551488.64</v>
      </c>
      <c r="K26" s="166">
        <f t="shared" si="1"/>
        <v>551488.64</v>
      </c>
      <c r="M26" s="109">
        <v>1430000</v>
      </c>
    </row>
    <row r="27" spans="1:13" ht="18" customHeight="1">
      <c r="A27" s="83" t="s">
        <v>275</v>
      </c>
      <c r="B27" s="263"/>
      <c r="C27" s="263"/>
      <c r="D27" s="263"/>
      <c r="E27" s="94"/>
      <c r="F27" s="94">
        <v>320350</v>
      </c>
      <c r="G27" s="94"/>
      <c r="H27" s="94"/>
      <c r="I27" s="94"/>
      <c r="J27" s="114">
        <f t="shared" si="3"/>
        <v>320350</v>
      </c>
      <c r="K27" s="166">
        <f t="shared" si="1"/>
        <v>320350</v>
      </c>
      <c r="M27" s="109">
        <v>4285413.1100000003</v>
      </c>
    </row>
    <row r="28" spans="1:13" ht="18" customHeight="1">
      <c r="A28" s="77" t="s">
        <v>274</v>
      </c>
      <c r="B28" s="263"/>
      <c r="C28" s="263"/>
      <c r="D28" s="263"/>
      <c r="E28" s="94"/>
      <c r="F28" s="94"/>
      <c r="G28" s="94"/>
      <c r="H28" s="94"/>
      <c r="I28" s="94"/>
      <c r="J28" s="114">
        <f t="shared" si="3"/>
        <v>0</v>
      </c>
      <c r="K28" s="166">
        <f t="shared" si="1"/>
        <v>0</v>
      </c>
      <c r="M28" s="109">
        <v>3777930</v>
      </c>
    </row>
    <row r="29" spans="1:13" ht="18" customHeight="1">
      <c r="A29" s="77" t="s">
        <v>227</v>
      </c>
      <c r="B29" s="263"/>
      <c r="C29" s="263"/>
      <c r="D29" s="263"/>
      <c r="E29" s="94"/>
      <c r="F29" s="94"/>
      <c r="G29" s="94"/>
      <c r="H29" s="94"/>
      <c r="I29" s="94"/>
      <c r="J29" s="114">
        <f t="shared" si="3"/>
        <v>0</v>
      </c>
      <c r="K29" s="166">
        <f t="shared" si="1"/>
        <v>0</v>
      </c>
      <c r="L29" s="118" t="s">
        <v>162</v>
      </c>
      <c r="M29" s="109">
        <v>100</v>
      </c>
    </row>
    <row r="30" spans="1:13" ht="18" customHeight="1">
      <c r="A30" s="77" t="s">
        <v>273</v>
      </c>
      <c r="B30" s="263"/>
      <c r="C30" s="263"/>
      <c r="D30" s="263"/>
      <c r="E30" s="94"/>
      <c r="F30" s="94">
        <v>24000</v>
      </c>
      <c r="G30" s="94"/>
      <c r="H30" s="94"/>
      <c r="I30" s="94"/>
      <c r="J30" s="114"/>
      <c r="K30" s="166"/>
      <c r="L30" s="118"/>
    </row>
    <row r="31" spans="1:13" ht="18" customHeight="1">
      <c r="A31" s="77" t="s">
        <v>213</v>
      </c>
      <c r="B31" s="263"/>
      <c r="C31" s="263"/>
      <c r="D31" s="263"/>
      <c r="E31" s="94"/>
      <c r="F31" s="94"/>
      <c r="G31" s="94"/>
      <c r="H31" s="94"/>
      <c r="I31" s="94"/>
      <c r="J31" s="114">
        <f t="shared" si="3"/>
        <v>0</v>
      </c>
      <c r="K31" s="166"/>
      <c r="L31" s="118"/>
      <c r="M31" s="109">
        <f>SUM(M23:M29)</f>
        <v>10129050.24</v>
      </c>
    </row>
    <row r="32" spans="1:13" ht="18" customHeight="1">
      <c r="A32" s="77" t="s">
        <v>250</v>
      </c>
      <c r="B32" s="263"/>
      <c r="C32" s="263"/>
      <c r="D32" s="263"/>
      <c r="E32" s="94"/>
      <c r="F32" s="94"/>
      <c r="G32" s="94"/>
      <c r="H32" s="94"/>
      <c r="I32" s="94"/>
      <c r="J32" s="114">
        <f t="shared" si="3"/>
        <v>0</v>
      </c>
      <c r="K32" s="166"/>
      <c r="L32" s="118"/>
    </row>
    <row r="33" spans="1:13" ht="18" customHeight="1">
      <c r="A33" s="77" t="s">
        <v>214</v>
      </c>
      <c r="B33" s="263"/>
      <c r="C33" s="263"/>
      <c r="D33" s="263"/>
      <c r="E33" s="94"/>
      <c r="F33" s="94">
        <v>454333</v>
      </c>
      <c r="G33" s="94"/>
      <c r="H33" s="94"/>
      <c r="I33" s="94"/>
      <c r="J33" s="114">
        <f t="shared" si="3"/>
        <v>454333</v>
      </c>
      <c r="K33" s="227"/>
      <c r="L33" s="118"/>
    </row>
    <row r="34" spans="1:13" ht="18" customHeight="1">
      <c r="A34" s="77" t="s">
        <v>249</v>
      </c>
      <c r="B34" s="263"/>
      <c r="C34" s="263"/>
      <c r="D34" s="263"/>
      <c r="E34" s="94"/>
      <c r="F34" s="94">
        <v>184378.85</v>
      </c>
      <c r="G34" s="94"/>
      <c r="H34" s="94"/>
      <c r="I34" s="94"/>
      <c r="J34" s="114">
        <f t="shared" si="3"/>
        <v>184378.85</v>
      </c>
      <c r="K34" s="265"/>
      <c r="L34" s="118"/>
    </row>
    <row r="35" spans="1:13" ht="18" customHeight="1">
      <c r="A35" s="77" t="s">
        <v>222</v>
      </c>
      <c r="B35" s="263"/>
      <c r="C35" s="263"/>
      <c r="D35" s="263"/>
      <c r="E35" s="94"/>
      <c r="F35" s="94"/>
      <c r="G35" s="94"/>
      <c r="H35" s="94"/>
      <c r="I35" s="94"/>
      <c r="J35" s="114">
        <f t="shared" si="3"/>
        <v>0</v>
      </c>
      <c r="K35" s="266">
        <f t="shared" si="1"/>
        <v>0</v>
      </c>
      <c r="L35" s="109">
        <f>SUM(F29:F35)</f>
        <v>662711.85</v>
      </c>
    </row>
    <row r="36" spans="1:13" ht="18" customHeight="1">
      <c r="A36" s="77" t="s">
        <v>223</v>
      </c>
      <c r="B36" s="263"/>
      <c r="C36" s="263"/>
      <c r="D36" s="263"/>
      <c r="E36" s="94"/>
      <c r="F36" s="94"/>
      <c r="G36" s="94"/>
      <c r="H36" s="94"/>
      <c r="I36" s="94"/>
      <c r="J36" s="114">
        <f t="shared" si="3"/>
        <v>0</v>
      </c>
      <c r="K36" s="166">
        <f t="shared" si="1"/>
        <v>0</v>
      </c>
      <c r="L36" s="109">
        <v>147060</v>
      </c>
    </row>
    <row r="37" spans="1:13" ht="18" customHeight="1">
      <c r="A37" s="77" t="s">
        <v>168</v>
      </c>
      <c r="B37" s="263"/>
      <c r="C37" s="263"/>
      <c r="D37" s="263"/>
      <c r="E37" s="94"/>
      <c r="F37" s="94"/>
      <c r="G37" s="94"/>
      <c r="H37" s="94"/>
      <c r="I37" s="94"/>
      <c r="J37" s="114">
        <f t="shared" si="3"/>
        <v>0</v>
      </c>
      <c r="K37" s="166">
        <f t="shared" si="1"/>
        <v>0</v>
      </c>
    </row>
    <row r="38" spans="1:13" ht="18" customHeight="1">
      <c r="A38" s="77" t="s">
        <v>208</v>
      </c>
      <c r="B38" s="263"/>
      <c r="C38" s="263"/>
      <c r="D38" s="263"/>
      <c r="E38" s="94"/>
      <c r="F38" s="94"/>
      <c r="G38" s="94"/>
      <c r="H38" s="94"/>
      <c r="I38" s="94"/>
      <c r="J38" s="114">
        <f t="shared" si="3"/>
        <v>0</v>
      </c>
      <c r="K38" s="166">
        <f t="shared" si="1"/>
        <v>0</v>
      </c>
      <c r="L38" s="109">
        <v>1555500</v>
      </c>
    </row>
    <row r="39" spans="1:13" ht="18" customHeight="1">
      <c r="A39" s="77" t="s">
        <v>207</v>
      </c>
      <c r="B39" s="263"/>
      <c r="C39" s="263"/>
      <c r="D39" s="263"/>
      <c r="E39" s="94"/>
      <c r="F39" s="94">
        <v>5530</v>
      </c>
      <c r="G39" s="94"/>
      <c r="H39" s="94"/>
      <c r="I39" s="94"/>
      <c r="J39" s="114">
        <f t="shared" si="3"/>
        <v>5530</v>
      </c>
      <c r="K39" s="166"/>
    </row>
    <row r="40" spans="1:13" ht="18" customHeight="1">
      <c r="A40" s="83" t="s">
        <v>94</v>
      </c>
      <c r="B40" s="263"/>
      <c r="C40" s="263"/>
      <c r="D40" s="263"/>
      <c r="E40" s="94"/>
      <c r="F40" s="94"/>
      <c r="G40" s="94"/>
      <c r="H40" s="94"/>
      <c r="I40" s="94"/>
      <c r="J40" s="114">
        <f t="shared" si="3"/>
        <v>0</v>
      </c>
      <c r="K40" s="166">
        <f t="shared" si="1"/>
        <v>0</v>
      </c>
      <c r="L40" s="109">
        <v>177000</v>
      </c>
    </row>
    <row r="41" spans="1:13" ht="18" customHeight="1">
      <c r="A41" s="83" t="s">
        <v>95</v>
      </c>
      <c r="B41" s="263"/>
      <c r="C41" s="263"/>
      <c r="D41" s="263"/>
      <c r="E41" s="94"/>
      <c r="F41" s="94"/>
      <c r="G41" s="94"/>
      <c r="H41" s="94"/>
      <c r="I41" s="94"/>
      <c r="J41" s="114">
        <f t="shared" si="3"/>
        <v>0</v>
      </c>
      <c r="K41" s="166">
        <f t="shared" si="1"/>
        <v>0</v>
      </c>
      <c r="L41" s="109">
        <v>204055</v>
      </c>
    </row>
    <row r="42" spans="1:13" ht="18" customHeight="1">
      <c r="A42" s="77" t="s">
        <v>96</v>
      </c>
      <c r="B42" s="263"/>
      <c r="C42" s="263"/>
      <c r="D42" s="263"/>
      <c r="E42" s="94"/>
      <c r="F42" s="94"/>
      <c r="G42" s="94"/>
      <c r="H42" s="94"/>
      <c r="I42" s="94"/>
      <c r="J42" s="114">
        <f t="shared" si="3"/>
        <v>0</v>
      </c>
      <c r="K42" s="166">
        <f t="shared" si="1"/>
        <v>0</v>
      </c>
      <c r="L42" s="109">
        <v>71070</v>
      </c>
    </row>
    <row r="43" spans="1:13" ht="18" customHeight="1">
      <c r="A43" s="84" t="s">
        <v>92</v>
      </c>
      <c r="B43" s="63"/>
      <c r="C43" s="63"/>
      <c r="D43" s="63"/>
      <c r="E43" s="94">
        <f t="shared" ref="E43:I43" si="4">SUM(E22:E42)</f>
        <v>0</v>
      </c>
      <c r="F43" s="94">
        <f t="shared" si="4"/>
        <v>1853142.9900000002</v>
      </c>
      <c r="G43" s="94">
        <f t="shared" si="4"/>
        <v>0</v>
      </c>
      <c r="H43" s="94">
        <f t="shared" si="4"/>
        <v>0</v>
      </c>
      <c r="I43" s="94">
        <f t="shared" si="4"/>
        <v>0</v>
      </c>
      <c r="J43" s="114">
        <f t="shared" si="3"/>
        <v>1853142.9900000002</v>
      </c>
      <c r="K43" s="166">
        <f t="shared" si="1"/>
        <v>1853142.9900000002</v>
      </c>
      <c r="L43" s="109">
        <v>27800</v>
      </c>
      <c r="M43" s="46"/>
    </row>
    <row r="44" spans="1:13" ht="18" customHeight="1">
      <c r="A44" s="84" t="s">
        <v>103</v>
      </c>
      <c r="B44" s="63"/>
      <c r="C44" s="63"/>
      <c r="D44" s="63"/>
      <c r="E44" s="103">
        <f>SUM('DRRM Funds Oct2015'!E44)</f>
        <v>0</v>
      </c>
      <c r="F44" s="103">
        <f>SUM('DRRM Funds Oct2015'!F44)</f>
        <v>17337218.699999999</v>
      </c>
      <c r="G44" s="103">
        <f>SUM('DRRM Funds Oct2015'!G44)</f>
        <v>0</v>
      </c>
      <c r="H44" s="103">
        <f>SUM('DRRM Funds Oct2015'!H44)</f>
        <v>0</v>
      </c>
      <c r="I44" s="103">
        <f>SUM('DRRM Funds Oct2015'!I44)</f>
        <v>0</v>
      </c>
      <c r="J44" s="103">
        <f>SUM('DRRM Funds Oct2015'!J44)</f>
        <v>17337218.699999999</v>
      </c>
      <c r="K44" s="166">
        <f t="shared" si="1"/>
        <v>17337218.699999999</v>
      </c>
      <c r="L44" s="109">
        <v>126865</v>
      </c>
      <c r="M44" s="109">
        <f>SUM(E44:H44)</f>
        <v>17337218.699999999</v>
      </c>
    </row>
    <row r="45" spans="1:13" ht="18" customHeight="1">
      <c r="A45" s="84" t="s">
        <v>104</v>
      </c>
      <c r="B45" s="63"/>
      <c r="C45" s="63"/>
      <c r="D45" s="63"/>
      <c r="E45" s="103">
        <f>SUM(E43:E44)</f>
        <v>0</v>
      </c>
      <c r="F45" s="103">
        <f>SUM(F43:F44)</f>
        <v>19190361.689999998</v>
      </c>
      <c r="G45" s="103">
        <f t="shared" ref="G45:J45" si="5">SUM(G43:G44)</f>
        <v>0</v>
      </c>
      <c r="H45" s="103">
        <f t="shared" si="5"/>
        <v>0</v>
      </c>
      <c r="I45" s="103">
        <f t="shared" si="5"/>
        <v>0</v>
      </c>
      <c r="J45" s="103">
        <f t="shared" si="5"/>
        <v>19190361.689999998</v>
      </c>
      <c r="K45" s="166">
        <f t="shared" si="1"/>
        <v>19190361.689999998</v>
      </c>
      <c r="L45" s="174">
        <f>SUM(L35:L44)</f>
        <v>2972061.85</v>
      </c>
      <c r="M45" s="109">
        <v>10492358.970000001</v>
      </c>
    </row>
    <row r="46" spans="1:13" ht="18" customHeight="1">
      <c r="A46" s="70" t="s">
        <v>93</v>
      </c>
      <c r="B46" s="72"/>
      <c r="C46" s="72"/>
      <c r="D46" s="80"/>
      <c r="E46" s="231">
        <f t="shared" ref="E46:J46" si="6">E20-E43</f>
        <v>17611195.934449997</v>
      </c>
      <c r="F46" s="231">
        <f t="shared" si="6"/>
        <v>22298965.887049995</v>
      </c>
      <c r="G46" s="231">
        <f t="shared" si="6"/>
        <v>0</v>
      </c>
      <c r="H46" s="231">
        <f t="shared" si="6"/>
        <v>0</v>
      </c>
      <c r="I46" s="231">
        <f t="shared" si="6"/>
        <v>0</v>
      </c>
      <c r="J46" s="231">
        <f t="shared" si="6"/>
        <v>39910161.821499988</v>
      </c>
      <c r="K46" s="166">
        <f>SUM(E46:I46)</f>
        <v>39910161.821499988</v>
      </c>
      <c r="L46" s="46"/>
      <c r="M46" s="109">
        <f>M45-L45</f>
        <v>7520297.120000001</v>
      </c>
    </row>
    <row r="47" spans="1:13" ht="18" customHeight="1">
      <c r="A47" s="55"/>
      <c r="B47" s="55"/>
      <c r="C47" s="55"/>
      <c r="D47" s="55"/>
      <c r="E47" s="55"/>
      <c r="F47" s="55"/>
      <c r="G47" s="55"/>
      <c r="H47" s="55"/>
      <c r="I47" s="55"/>
      <c r="J47" s="115" t="s">
        <v>74</v>
      </c>
      <c r="K47" s="92">
        <f>SUM(E46:F46)</f>
        <v>39910161.821499988</v>
      </c>
      <c r="M47" s="109">
        <v>0</v>
      </c>
    </row>
    <row r="48" spans="1:13">
      <c r="A48" s="55" t="s">
        <v>83</v>
      </c>
      <c r="B48" s="55"/>
      <c r="C48" s="55"/>
      <c r="D48" s="55"/>
      <c r="E48" s="55"/>
      <c r="F48" s="55"/>
      <c r="G48" s="55"/>
      <c r="H48" s="55" t="s">
        <v>29</v>
      </c>
      <c r="I48" s="55"/>
      <c r="J48" s="115"/>
      <c r="K48" s="55"/>
      <c r="L48" s="109">
        <v>752760</v>
      </c>
    </row>
    <row r="49" spans="1:13">
      <c r="A49" s="55"/>
      <c r="B49" s="55"/>
      <c r="C49" s="55"/>
      <c r="D49" s="55"/>
      <c r="E49" s="55"/>
      <c r="F49" s="55"/>
      <c r="G49" s="55"/>
      <c r="H49" s="55"/>
      <c r="I49" s="55"/>
      <c r="J49" s="115"/>
      <c r="K49" s="55"/>
      <c r="L49" s="109">
        <v>902075</v>
      </c>
    </row>
    <row r="50" spans="1:13">
      <c r="A50" s="82" t="s">
        <v>202</v>
      </c>
      <c r="B50" s="55"/>
      <c r="C50" s="55"/>
      <c r="D50" s="55"/>
      <c r="E50" s="55"/>
      <c r="F50" s="55"/>
      <c r="G50" s="55"/>
      <c r="H50" s="241" t="s">
        <v>194</v>
      </c>
      <c r="I50" s="55"/>
      <c r="J50" s="115"/>
      <c r="K50" s="55"/>
      <c r="L50" s="109">
        <v>504234.65</v>
      </c>
      <c r="M50" s="109">
        <v>8736531.7100000009</v>
      </c>
    </row>
    <row r="51" spans="1:13">
      <c r="A51" s="140" t="s">
        <v>203</v>
      </c>
      <c r="B51" s="55"/>
      <c r="C51" s="55"/>
      <c r="D51" s="55"/>
      <c r="E51" s="55"/>
      <c r="F51" s="55"/>
      <c r="G51" s="55"/>
      <c r="H51" s="140" t="s">
        <v>195</v>
      </c>
      <c r="I51" s="55"/>
      <c r="J51" s="115"/>
      <c r="K51" s="55"/>
      <c r="L51" s="109">
        <v>899145</v>
      </c>
      <c r="M51" s="109">
        <v>10140</v>
      </c>
    </row>
    <row r="52" spans="1:13">
      <c r="A52" s="55"/>
      <c r="B52" s="55"/>
      <c r="C52" s="55"/>
      <c r="D52" s="55"/>
      <c r="E52" s="121" t="s">
        <v>237</v>
      </c>
      <c r="F52" s="55"/>
      <c r="G52" s="55"/>
      <c r="H52" s="55"/>
      <c r="I52" s="55"/>
      <c r="J52" s="115"/>
      <c r="K52" s="55"/>
      <c r="L52" s="109">
        <v>1087927.3999999999</v>
      </c>
      <c r="M52" s="109">
        <f>SUM(M50:M51)</f>
        <v>8746671.7100000009</v>
      </c>
    </row>
    <row r="53" spans="1:13">
      <c r="A53" s="55"/>
      <c r="B53" s="55"/>
      <c r="C53" s="55"/>
      <c r="D53" s="55"/>
      <c r="E53" s="115"/>
      <c r="F53" s="55"/>
      <c r="G53" s="55"/>
      <c r="H53" s="55"/>
      <c r="I53" s="115"/>
      <c r="J53" s="115"/>
      <c r="K53" s="55"/>
      <c r="L53" s="109">
        <v>2896515.5</v>
      </c>
    </row>
    <row r="54" spans="1:13">
      <c r="A54" s="55"/>
      <c r="B54" s="55"/>
      <c r="C54" s="55"/>
      <c r="D54" s="55"/>
      <c r="E54" s="82" t="s">
        <v>149</v>
      </c>
      <c r="F54" s="55"/>
      <c r="G54" s="55"/>
      <c r="H54" s="55"/>
      <c r="I54" s="115"/>
      <c r="J54" s="115"/>
      <c r="K54" s="55"/>
    </row>
    <row r="55" spans="1:13">
      <c r="A55" s="55"/>
      <c r="B55" s="55"/>
      <c r="C55" s="55"/>
      <c r="D55" s="55"/>
      <c r="E55" s="55" t="s">
        <v>238</v>
      </c>
      <c r="F55" s="55"/>
      <c r="G55" s="55"/>
      <c r="H55" s="55"/>
      <c r="I55" s="115"/>
      <c r="J55" s="115"/>
      <c r="K55" s="55"/>
      <c r="L55" s="109">
        <v>120000</v>
      </c>
    </row>
    <row r="56" spans="1:13">
      <c r="I56" s="109"/>
      <c r="M56" s="46"/>
    </row>
    <row r="57" spans="1:13">
      <c r="F57" s="121">
        <f>F18-F58</f>
        <v>-1976224.0590500012</v>
      </c>
      <c r="I57" s="109"/>
      <c r="K57" s="55"/>
      <c r="L57" s="115">
        <v>630000</v>
      </c>
      <c r="M57" s="183">
        <v>10644424.82</v>
      </c>
    </row>
    <row r="58" spans="1:13">
      <c r="F58" s="115">
        <f>49980+103610+255752.8+265335+81917.75+32889+315132+287135.25+143400+640002.5</f>
        <v>2175154.2999999998</v>
      </c>
      <c r="I58" s="109"/>
      <c r="J58" s="109">
        <v>7850000</v>
      </c>
      <c r="L58" s="109">
        <v>1000000</v>
      </c>
      <c r="M58" s="183">
        <v>13157941.960000001</v>
      </c>
    </row>
    <row r="59" spans="1:13">
      <c r="I59" s="109"/>
      <c r="J59" s="109">
        <v>800000</v>
      </c>
      <c r="L59" s="109">
        <v>1300000</v>
      </c>
      <c r="M59" s="184">
        <v>0</v>
      </c>
    </row>
    <row r="60" spans="1:13">
      <c r="I60" s="109"/>
      <c r="J60" s="109">
        <v>1200000</v>
      </c>
      <c r="L60" s="109">
        <v>2000000</v>
      </c>
      <c r="M60" s="183">
        <f>SUM(M57:M59)</f>
        <v>23802366.780000001</v>
      </c>
    </row>
    <row r="61" spans="1:13">
      <c r="I61" s="109"/>
      <c r="J61" s="109">
        <v>3500000</v>
      </c>
      <c r="L61" s="109">
        <v>150000</v>
      </c>
      <c r="M61" s="183">
        <v>24092226.780000001</v>
      </c>
    </row>
    <row r="62" spans="1:13">
      <c r="I62" s="109">
        <v>100000</v>
      </c>
      <c r="J62" s="116">
        <f>SUM(J58:J61)</f>
        <v>13350000</v>
      </c>
      <c r="L62" s="109">
        <v>4590281.96</v>
      </c>
      <c r="M62" s="183">
        <f>M61-M60</f>
        <v>289860</v>
      </c>
    </row>
    <row r="63" spans="1:13">
      <c r="I63" s="109">
        <v>4589687.1100000003</v>
      </c>
      <c r="J63" s="109">
        <v>16829861.079999998</v>
      </c>
      <c r="L63" s="109">
        <f>SUM(L57:L62)</f>
        <v>9670281.9600000009</v>
      </c>
      <c r="M63" s="46"/>
    </row>
    <row r="64" spans="1:13">
      <c r="I64" s="116">
        <f>SUM(I58:I63)</f>
        <v>4689687.1100000003</v>
      </c>
      <c r="J64" s="109">
        <f>J62-J63</f>
        <v>-3479861.0799999982</v>
      </c>
      <c r="M64" s="109">
        <v>24416573.030000001</v>
      </c>
    </row>
    <row r="65" spans="1:13">
      <c r="I65" s="109">
        <v>7212797.6100000003</v>
      </c>
      <c r="M65" s="109">
        <v>24708913.030000001</v>
      </c>
    </row>
    <row r="66" spans="1:13">
      <c r="I66" s="109">
        <f>I64-I65</f>
        <v>-2523110.5</v>
      </c>
      <c r="M66" s="109">
        <f>M64-M65</f>
        <v>-292340</v>
      </c>
    </row>
    <row r="67" spans="1:13">
      <c r="I67" s="109"/>
      <c r="M67" s="109">
        <v>289860</v>
      </c>
    </row>
    <row r="68" spans="1:13">
      <c r="I68" s="109"/>
      <c r="J68" s="109">
        <v>25346381.800000001</v>
      </c>
      <c r="M68" s="173">
        <f>SUM(M66:M67)</f>
        <v>-2480</v>
      </c>
    </row>
    <row r="69" spans="1:13">
      <c r="I69" s="109"/>
      <c r="J69" s="109">
        <v>24042658.690000001</v>
      </c>
      <c r="M69" s="46"/>
    </row>
    <row r="70" spans="1:13">
      <c r="I70" s="109"/>
      <c r="J70" s="109">
        <f>J68-J69</f>
        <v>1303723.1099999994</v>
      </c>
      <c r="L70" s="109">
        <v>400000</v>
      </c>
      <c r="M70" s="46"/>
    </row>
    <row r="71" spans="1:13">
      <c r="I71" s="109"/>
      <c r="L71" s="109">
        <v>1000000</v>
      </c>
      <c r="M71" s="109">
        <v>25279.7</v>
      </c>
    </row>
    <row r="72" spans="1:13">
      <c r="I72" s="109"/>
      <c r="M72" s="109">
        <v>27759.7</v>
      </c>
    </row>
    <row r="73" spans="1:13">
      <c r="H73" s="109"/>
      <c r="I73" s="109"/>
      <c r="M73" s="173">
        <f>M71-M72</f>
        <v>-2480</v>
      </c>
    </row>
    <row r="74" spans="1:13">
      <c r="H74" s="109">
        <v>4455551.57</v>
      </c>
      <c r="I74" s="109"/>
      <c r="J74" s="109">
        <v>17496381.800000001</v>
      </c>
      <c r="M74" s="46"/>
    </row>
    <row r="75" spans="1:13">
      <c r="H75" s="109">
        <v>5760963.6399999997</v>
      </c>
      <c r="I75" s="109"/>
      <c r="J75" s="109">
        <v>7850000</v>
      </c>
      <c r="M75" s="46"/>
    </row>
    <row r="76" spans="1:13">
      <c r="H76" s="109">
        <f>SUM(H74:H75)</f>
        <v>10216515.210000001</v>
      </c>
      <c r="I76" s="109"/>
      <c r="J76" s="109">
        <f>SUM(J74:J75)</f>
        <v>25346381.800000001</v>
      </c>
      <c r="M76" s="46"/>
    </row>
    <row r="77" spans="1:13" s="109" customFormat="1">
      <c r="A77" s="46"/>
      <c r="B77" s="46"/>
      <c r="C77" s="46"/>
      <c r="D77" s="46"/>
      <c r="E77" s="46"/>
      <c r="F77" s="46"/>
      <c r="G77" s="46"/>
    </row>
    <row r="78" spans="1:13" s="109" customFormat="1">
      <c r="A78" s="46"/>
      <c r="B78" s="46"/>
      <c r="C78" s="46"/>
      <c r="D78" s="46"/>
      <c r="E78" s="46"/>
      <c r="F78" s="46"/>
      <c r="G78" s="46"/>
    </row>
    <row r="79" spans="1:13" s="109" customFormat="1">
      <c r="A79" s="46"/>
      <c r="B79" s="46"/>
      <c r="C79" s="46"/>
      <c r="D79" s="46"/>
      <c r="E79" s="46"/>
      <c r="F79" s="46"/>
      <c r="G79" s="46"/>
    </row>
    <row r="80" spans="1:13" s="109" customFormat="1">
      <c r="A80" s="46"/>
      <c r="B80" s="46"/>
      <c r="C80" s="46"/>
      <c r="D80" s="46"/>
      <c r="E80" s="46"/>
      <c r="F80" s="46"/>
      <c r="G80" s="46"/>
    </row>
    <row r="81" spans="1:11" s="109" customFormat="1">
      <c r="A81" s="46"/>
      <c r="B81" s="46"/>
      <c r="C81" s="46"/>
      <c r="D81" s="46"/>
      <c r="E81" s="46"/>
      <c r="F81" s="46"/>
      <c r="G81" s="46"/>
    </row>
    <row r="82" spans="1:11" s="109" customFormat="1">
      <c r="A82" s="46"/>
      <c r="B82" s="46"/>
      <c r="C82" s="46"/>
      <c r="D82" s="46"/>
      <c r="E82" s="46"/>
      <c r="F82" s="46"/>
      <c r="G82" s="46"/>
    </row>
    <row r="83" spans="1:11" s="109" customFormat="1">
      <c r="A83" s="46"/>
      <c r="B83" s="46"/>
      <c r="C83" s="46"/>
      <c r="D83" s="46"/>
      <c r="E83" s="46"/>
      <c r="F83" s="46"/>
      <c r="G83" s="46"/>
      <c r="H83" s="46"/>
    </row>
    <row r="84" spans="1:11" s="109" customFormat="1">
      <c r="A84" s="46"/>
      <c r="B84" s="46"/>
      <c r="C84" s="46"/>
      <c r="D84" s="46"/>
      <c r="E84" s="46"/>
      <c r="F84" s="46"/>
      <c r="G84" s="46"/>
      <c r="H84" s="46"/>
    </row>
    <row r="85" spans="1:11" s="109" customFormat="1">
      <c r="A85" s="46"/>
      <c r="B85" s="46"/>
      <c r="C85" s="46"/>
      <c r="D85" s="46"/>
      <c r="E85" s="46"/>
      <c r="F85" s="46"/>
      <c r="G85" s="46"/>
      <c r="H85" s="46"/>
    </row>
    <row r="86" spans="1:11" s="109" customFormat="1">
      <c r="A86" s="46"/>
      <c r="B86" s="46"/>
      <c r="C86" s="46"/>
      <c r="D86" s="46"/>
      <c r="E86" s="46"/>
      <c r="F86" s="46"/>
      <c r="G86" s="46"/>
      <c r="H86" s="46"/>
    </row>
    <row r="87" spans="1:11" s="109" customFormat="1">
      <c r="A87" s="46"/>
      <c r="B87" s="46"/>
      <c r="C87" s="46"/>
      <c r="D87" s="46"/>
      <c r="E87" s="46"/>
      <c r="F87" s="46"/>
      <c r="G87" s="46"/>
      <c r="H87" s="46"/>
      <c r="K87" s="46"/>
    </row>
    <row r="88" spans="1:11" s="109" customFormat="1">
      <c r="A88" s="46"/>
      <c r="B88" s="46"/>
      <c r="C88" s="46"/>
      <c r="D88" s="46"/>
      <c r="E88" s="46"/>
      <c r="F88" s="46"/>
      <c r="G88" s="46"/>
      <c r="H88" s="46"/>
      <c r="K88" s="46"/>
    </row>
    <row r="89" spans="1:11" s="109" customFormat="1">
      <c r="A89" s="46"/>
      <c r="B89" s="46"/>
      <c r="C89" s="46"/>
      <c r="D89" s="46"/>
      <c r="E89" s="46"/>
      <c r="F89" s="46"/>
      <c r="G89" s="46"/>
      <c r="H89" s="46"/>
      <c r="K89" s="46"/>
    </row>
    <row r="90" spans="1:11" s="109" customFormat="1">
      <c r="A90" s="46"/>
      <c r="B90" s="46"/>
      <c r="C90" s="46"/>
      <c r="D90" s="46"/>
      <c r="E90" s="46"/>
      <c r="F90" s="46"/>
      <c r="G90" s="46"/>
      <c r="H90" s="46"/>
      <c r="K90" s="46"/>
    </row>
    <row r="91" spans="1:11" s="109" customFormat="1">
      <c r="A91" s="46"/>
      <c r="B91" s="46"/>
      <c r="C91" s="46"/>
      <c r="D91" s="46"/>
      <c r="E91" s="46"/>
      <c r="F91" s="46"/>
      <c r="G91" s="46"/>
      <c r="H91" s="46"/>
      <c r="K91" s="46"/>
    </row>
    <row r="92" spans="1:11" s="109" customFormat="1">
      <c r="A92" s="46"/>
      <c r="B92" s="46"/>
      <c r="C92" s="46"/>
      <c r="D92" s="46"/>
      <c r="E92" s="46"/>
      <c r="F92" s="46"/>
      <c r="G92" s="46"/>
      <c r="H92" s="46"/>
      <c r="K92" s="46"/>
    </row>
    <row r="93" spans="1:11" s="109" customFormat="1">
      <c r="A93" s="46"/>
      <c r="B93" s="46"/>
      <c r="C93" s="46"/>
      <c r="D93" s="46"/>
      <c r="E93" s="46"/>
      <c r="F93" s="46"/>
      <c r="G93" s="46"/>
      <c r="H93" s="46"/>
      <c r="K93" s="46"/>
    </row>
    <row r="94" spans="1:11" s="109" customFormat="1">
      <c r="A94" s="46"/>
      <c r="B94" s="46"/>
      <c r="C94" s="46"/>
      <c r="D94" s="46"/>
      <c r="E94" s="46"/>
      <c r="F94" s="46"/>
      <c r="G94" s="46"/>
      <c r="H94" s="46"/>
      <c r="K94" s="46"/>
    </row>
    <row r="95" spans="1:11" s="109" customFormat="1">
      <c r="A95" s="46"/>
      <c r="B95" s="46"/>
      <c r="C95" s="46"/>
      <c r="D95" s="46"/>
      <c r="E95" s="46"/>
      <c r="F95" s="46"/>
      <c r="G95" s="46"/>
      <c r="H95" s="46"/>
      <c r="K95" s="46"/>
    </row>
    <row r="96" spans="1:11" s="109" customFormat="1">
      <c r="A96" s="46"/>
      <c r="B96" s="46"/>
      <c r="C96" s="46"/>
      <c r="D96" s="46"/>
      <c r="E96" s="46"/>
      <c r="F96" s="46"/>
      <c r="G96" s="46"/>
      <c r="H96" s="46"/>
      <c r="K96" s="46"/>
    </row>
    <row r="97" spans="1:11" s="109" customFormat="1">
      <c r="A97" s="46"/>
      <c r="B97" s="46"/>
      <c r="C97" s="46"/>
      <c r="D97" s="46"/>
      <c r="E97" s="46"/>
      <c r="F97" s="46"/>
      <c r="G97" s="46"/>
      <c r="H97" s="46"/>
      <c r="K97" s="46"/>
    </row>
    <row r="98" spans="1:11" s="109" customFormat="1">
      <c r="A98" s="46"/>
      <c r="B98" s="46"/>
      <c r="C98" s="46"/>
      <c r="D98" s="46"/>
      <c r="E98" s="46"/>
      <c r="F98" s="46"/>
      <c r="G98" s="46"/>
      <c r="H98" s="46"/>
      <c r="K98" s="46"/>
    </row>
    <row r="99" spans="1:11" s="109" customFormat="1">
      <c r="A99" s="46"/>
      <c r="B99" s="46"/>
      <c r="C99" s="46"/>
      <c r="D99" s="46"/>
      <c r="E99" s="46"/>
      <c r="F99" s="46"/>
      <c r="G99" s="46"/>
      <c r="H99" s="46"/>
      <c r="K99" s="46"/>
    </row>
  </sheetData>
  <mergeCells count="3">
    <mergeCell ref="A2:J2"/>
    <mergeCell ref="A3:J3"/>
    <mergeCell ref="A4:J4"/>
  </mergeCells>
  <printOptions horizontalCentered="1"/>
  <pageMargins left="0.02" right="0.15" top="0.39" bottom="0.1" header="0.21" footer="0.1"/>
  <pageSetup scale="84" orientation="portrait" horizontalDpi="4294967294" verticalDpi="30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M98"/>
  <sheetViews>
    <sheetView topLeftCell="A13" workbookViewId="0">
      <selection activeCell="G29" sqref="G29"/>
    </sheetView>
  </sheetViews>
  <sheetFormatPr defaultRowHeight="12.75"/>
  <cols>
    <col min="1" max="1" width="6" style="46" customWidth="1"/>
    <col min="2" max="3" width="9.140625" style="46"/>
    <col min="4" max="4" width="16.5703125" style="46" customWidth="1"/>
    <col min="5" max="6" width="13.85546875" style="46" customWidth="1"/>
    <col min="7" max="7" width="10" style="46" customWidth="1"/>
    <col min="8" max="8" width="11.5703125" style="46" customWidth="1"/>
    <col min="9" max="9" width="11.42578125" style="46" customWidth="1"/>
    <col min="10" max="10" width="13.28515625" style="109" customWidth="1"/>
    <col min="11" max="11" width="15.7109375" style="46" customWidth="1"/>
    <col min="12" max="12" width="16.85546875" style="109" customWidth="1"/>
    <col min="13" max="13" width="17" style="109" customWidth="1"/>
    <col min="14" max="14" width="17" style="46" customWidth="1"/>
    <col min="15" max="16384" width="9.140625" style="46"/>
  </cols>
  <sheetData>
    <row r="1" spans="1:13">
      <c r="A1" s="47"/>
      <c r="B1" s="48"/>
      <c r="C1" s="48"/>
      <c r="D1" s="48"/>
      <c r="E1" s="48"/>
      <c r="F1" s="48"/>
      <c r="G1" s="48"/>
      <c r="H1" s="48"/>
      <c r="I1" s="48"/>
      <c r="J1" s="169" t="s">
        <v>81</v>
      </c>
    </row>
    <row r="2" spans="1:13">
      <c r="A2" s="389" t="s">
        <v>80</v>
      </c>
      <c r="B2" s="390"/>
      <c r="C2" s="390"/>
      <c r="D2" s="390"/>
      <c r="E2" s="390"/>
      <c r="F2" s="390"/>
      <c r="G2" s="390"/>
      <c r="H2" s="390"/>
      <c r="I2" s="390"/>
      <c r="J2" s="391"/>
    </row>
    <row r="3" spans="1:13">
      <c r="A3" s="389" t="s">
        <v>267</v>
      </c>
      <c r="B3" s="390"/>
      <c r="C3" s="390"/>
      <c r="D3" s="390"/>
      <c r="E3" s="390"/>
      <c r="F3" s="390"/>
      <c r="G3" s="390"/>
      <c r="H3" s="390"/>
      <c r="I3" s="390"/>
      <c r="J3" s="391"/>
    </row>
    <row r="4" spans="1:13">
      <c r="A4" s="389"/>
      <c r="B4" s="390"/>
      <c r="C4" s="390"/>
      <c r="D4" s="390"/>
      <c r="E4" s="390"/>
      <c r="F4" s="390"/>
      <c r="G4" s="390"/>
      <c r="H4" s="390"/>
      <c r="I4" s="390"/>
      <c r="J4" s="391"/>
    </row>
    <row r="5" spans="1:13">
      <c r="A5" s="54" t="s">
        <v>77</v>
      </c>
      <c r="B5" s="256"/>
      <c r="C5" s="256"/>
      <c r="D5" s="256"/>
      <c r="E5" s="256"/>
      <c r="F5" s="256"/>
      <c r="G5" s="256"/>
      <c r="H5" s="256"/>
      <c r="I5" s="256"/>
      <c r="J5" s="170"/>
    </row>
    <row r="6" spans="1:13">
      <c r="A6" s="54" t="s">
        <v>76</v>
      </c>
      <c r="B6" s="55"/>
      <c r="C6" s="55"/>
      <c r="D6" s="55"/>
      <c r="E6" s="55"/>
      <c r="F6" s="55"/>
      <c r="G6" s="55"/>
      <c r="H6" s="55"/>
      <c r="I6" s="55"/>
      <c r="J6" s="171"/>
      <c r="K6" s="46" t="s">
        <v>210</v>
      </c>
    </row>
    <row r="7" spans="1:13">
      <c r="A7" s="47"/>
      <c r="B7" s="48"/>
      <c r="C7" s="48"/>
      <c r="D7" s="49"/>
      <c r="E7" s="88" t="s">
        <v>8</v>
      </c>
      <c r="F7" s="50"/>
      <c r="G7" s="52"/>
      <c r="H7" s="52"/>
      <c r="I7" s="53"/>
      <c r="J7" s="110"/>
    </row>
    <row r="8" spans="1:13">
      <c r="A8" s="54"/>
      <c r="B8" s="55"/>
      <c r="C8" s="55"/>
      <c r="D8" s="56"/>
      <c r="E8" s="255" t="s">
        <v>9</v>
      </c>
      <c r="F8" s="53"/>
      <c r="G8" s="59"/>
      <c r="H8" s="59"/>
      <c r="I8" s="58"/>
      <c r="J8" s="111"/>
    </row>
    <row r="9" spans="1:13">
      <c r="A9" s="61" t="s">
        <v>68</v>
      </c>
      <c r="B9" s="55"/>
      <c r="C9" s="55"/>
      <c r="D9" s="56"/>
      <c r="E9" s="255" t="s">
        <v>10</v>
      </c>
      <c r="F9" s="60" t="s">
        <v>12</v>
      </c>
      <c r="G9" s="60" t="s">
        <v>14</v>
      </c>
      <c r="H9" s="60" t="s">
        <v>20</v>
      </c>
      <c r="I9" s="60" t="s">
        <v>22</v>
      </c>
      <c r="J9" s="112" t="s">
        <v>24</v>
      </c>
    </row>
    <row r="10" spans="1:13">
      <c r="A10" s="54"/>
      <c r="B10" s="55"/>
      <c r="C10" s="55"/>
      <c r="D10" s="56"/>
      <c r="E10" s="255" t="s">
        <v>11</v>
      </c>
      <c r="F10" s="60" t="s">
        <v>13</v>
      </c>
      <c r="G10" s="59"/>
      <c r="H10" s="60" t="s">
        <v>21</v>
      </c>
      <c r="I10" s="60" t="s">
        <v>23</v>
      </c>
      <c r="J10" s="111"/>
    </row>
    <row r="11" spans="1:13">
      <c r="A11" s="62"/>
      <c r="B11" s="63"/>
      <c r="C11" s="63"/>
      <c r="D11" s="64"/>
      <c r="E11" s="65">
        <v>0.3</v>
      </c>
      <c r="F11" s="66">
        <v>0.7</v>
      </c>
      <c r="G11" s="59"/>
      <c r="H11" s="67"/>
      <c r="I11" s="68"/>
      <c r="J11" s="113"/>
    </row>
    <row r="12" spans="1:13" ht="18" customHeight="1">
      <c r="A12" s="70" t="s">
        <v>0</v>
      </c>
      <c r="B12" s="71"/>
      <c r="C12" s="71"/>
      <c r="D12" s="72"/>
      <c r="E12" s="51"/>
      <c r="F12" s="51"/>
      <c r="G12" s="51"/>
      <c r="H12" s="51"/>
      <c r="I12" s="51"/>
      <c r="J12" s="110"/>
      <c r="L12" s="118" t="s">
        <v>90</v>
      </c>
      <c r="M12" s="118" t="s">
        <v>89</v>
      </c>
    </row>
    <row r="13" spans="1:13" ht="18" customHeight="1">
      <c r="A13" s="73" t="s">
        <v>1</v>
      </c>
      <c r="B13" s="72"/>
      <c r="C13" s="72"/>
      <c r="D13" s="72"/>
      <c r="E13" s="94">
        <f>M19*0.3</f>
        <v>429454.50240000041</v>
      </c>
      <c r="F13" s="94">
        <f>M19*0.7</f>
        <v>1002060.5056000008</v>
      </c>
      <c r="G13" s="94"/>
      <c r="H13" s="94"/>
      <c r="I13" s="94"/>
      <c r="J13" s="114">
        <f>SUM(E13:I13)</f>
        <v>1431515.0080000013</v>
      </c>
      <c r="K13" s="175" t="e">
        <f>SUM(J13+#REF!+#REF!+#REF!+#REF!+#REF!+#REF!+#REF!+#REF!+#REF!+#REF!+#REF!)</f>
        <v>#REF!</v>
      </c>
      <c r="L13" s="109">
        <v>21367644.399999999</v>
      </c>
      <c r="M13" s="109">
        <v>4171566.4</v>
      </c>
    </row>
    <row r="14" spans="1:13" ht="18" customHeight="1">
      <c r="A14" s="73" t="s">
        <v>2</v>
      </c>
      <c r="B14" s="72"/>
      <c r="C14" s="72"/>
      <c r="D14" s="72"/>
      <c r="E14" s="102"/>
      <c r="F14" s="102"/>
      <c r="G14" s="102"/>
      <c r="H14" s="102"/>
      <c r="I14" s="102"/>
      <c r="J14" s="110">
        <f>SUM(E14:I14)</f>
        <v>0</v>
      </c>
      <c r="K14" s="117" t="s">
        <v>88</v>
      </c>
      <c r="L14" s="109">
        <v>9400000</v>
      </c>
      <c r="M14" s="109">
        <v>5637398.9699999997</v>
      </c>
    </row>
    <row r="15" spans="1:13" ht="18" customHeight="1">
      <c r="A15" s="75" t="s">
        <v>3</v>
      </c>
      <c r="B15" s="48"/>
      <c r="C15" s="48"/>
      <c r="D15" s="48"/>
      <c r="E15" s="102"/>
      <c r="F15" s="102"/>
      <c r="G15" s="102"/>
      <c r="H15" s="102"/>
      <c r="I15" s="102"/>
      <c r="J15" s="110"/>
      <c r="L15" s="116">
        <f>SUM(L13:L14)</f>
        <v>30767644.399999999</v>
      </c>
      <c r="M15" s="116">
        <f>SUM(M13:M14)</f>
        <v>9808965.3699999992</v>
      </c>
    </row>
    <row r="16" spans="1:13" ht="18" customHeight="1">
      <c r="A16" s="76" t="s">
        <v>78</v>
      </c>
      <c r="B16" s="55"/>
      <c r="C16" s="55"/>
      <c r="D16" s="55"/>
      <c r="E16" s="103"/>
      <c r="F16" s="103"/>
      <c r="G16" s="103"/>
      <c r="H16" s="103"/>
      <c r="I16" s="103"/>
      <c r="J16" s="113">
        <f>SUM(E16:I16)</f>
        <v>0</v>
      </c>
      <c r="K16" s="46">
        <v>11930281.960000001</v>
      </c>
    </row>
    <row r="17" spans="1:13" ht="18" customHeight="1">
      <c r="A17" s="77" t="s">
        <v>79</v>
      </c>
      <c r="B17" s="72"/>
      <c r="C17" s="72"/>
      <c r="D17" s="72"/>
      <c r="E17" s="94"/>
      <c r="F17" s="94"/>
      <c r="G17" s="94"/>
      <c r="H17" s="94"/>
      <c r="I17" s="94"/>
      <c r="J17" s="113">
        <f>SUM(E17:I17)</f>
        <v>0</v>
      </c>
      <c r="K17" s="173">
        <f>K16-J16</f>
        <v>11930281.960000001</v>
      </c>
      <c r="M17" s="109">
        <v>25936573.030000001</v>
      </c>
    </row>
    <row r="18" spans="1:13" ht="18" customHeight="1">
      <c r="A18" s="70" t="s">
        <v>7</v>
      </c>
      <c r="B18" s="72"/>
      <c r="C18" s="72"/>
      <c r="D18" s="72"/>
      <c r="E18" s="119">
        <f>SUM(E13:E17)</f>
        <v>429454.50240000041</v>
      </c>
      <c r="F18" s="119">
        <f t="shared" ref="F18:J18" si="0">SUM(F13:F17)</f>
        <v>1002060.5056000008</v>
      </c>
      <c r="G18" s="119">
        <f t="shared" si="0"/>
        <v>0</v>
      </c>
      <c r="H18" s="119">
        <f t="shared" si="0"/>
        <v>0</v>
      </c>
      <c r="I18" s="119">
        <f t="shared" si="0"/>
        <v>0</v>
      </c>
      <c r="J18" s="119">
        <f t="shared" si="0"/>
        <v>1431515.0080000013</v>
      </c>
      <c r="K18" s="166">
        <f t="shared" ref="K18:K44" si="1">SUM(E18:I18)</f>
        <v>1431515.0080000013</v>
      </c>
      <c r="L18" s="193" t="s">
        <v>171</v>
      </c>
      <c r="M18" s="192">
        <f>550387127.85-521756827.69</f>
        <v>28630300.160000026</v>
      </c>
    </row>
    <row r="19" spans="1:13" s="109" customFormat="1" ht="18" customHeight="1">
      <c r="A19" s="74" t="s">
        <v>99</v>
      </c>
      <c r="B19" s="72" t="s">
        <v>100</v>
      </c>
      <c r="C19" s="72"/>
      <c r="D19" s="72"/>
      <c r="E19" s="94">
        <f>SUM('DRRM Funds Sept2015'!E45)</f>
        <v>17096485.614499997</v>
      </c>
      <c r="F19" s="94">
        <f>SUM('DRRM Funds Sept2015'!F45)</f>
        <v>24116256.510499991</v>
      </c>
      <c r="G19" s="94">
        <f>SUM('DRRM Funds Sept2015'!G45)</f>
        <v>0</v>
      </c>
      <c r="H19" s="94">
        <f>SUM('DRRM Funds Sept2015'!H45)</f>
        <v>0</v>
      </c>
      <c r="I19" s="94">
        <f>SUM('DRRM Funds Sept2015'!I45)</f>
        <v>0</v>
      </c>
      <c r="J19" s="94">
        <f>SUM('DRRM Funds Sept2015'!J45)</f>
        <v>41212742.124999993</v>
      </c>
      <c r="K19" s="166">
        <f t="shared" si="1"/>
        <v>41212742.124999985</v>
      </c>
      <c r="L19" s="194">
        <v>0.05</v>
      </c>
      <c r="M19" s="262">
        <f>M18*0.05</f>
        <v>1431515.0080000013</v>
      </c>
    </row>
    <row r="20" spans="1:13" s="109" customFormat="1" ht="18" customHeight="1">
      <c r="A20" s="70" t="s">
        <v>101</v>
      </c>
      <c r="B20" s="122"/>
      <c r="C20" s="72"/>
      <c r="D20" s="72"/>
      <c r="E20" s="119">
        <f>SUM(E18:E19)</f>
        <v>17525940.116899997</v>
      </c>
      <c r="F20" s="119">
        <f t="shared" ref="F20:J20" si="2">SUM(F18:F19)</f>
        <v>25118317.016099993</v>
      </c>
      <c r="G20" s="119">
        <f t="shared" si="2"/>
        <v>0</v>
      </c>
      <c r="H20" s="119">
        <f t="shared" si="2"/>
        <v>0</v>
      </c>
      <c r="I20" s="119">
        <f t="shared" si="2"/>
        <v>0</v>
      </c>
      <c r="J20" s="119">
        <f t="shared" si="2"/>
        <v>42644257.132999994</v>
      </c>
      <c r="K20" s="166">
        <f t="shared" si="1"/>
        <v>42644257.132999986</v>
      </c>
    </row>
    <row r="21" spans="1:13" ht="18" customHeight="1">
      <c r="A21" s="70" t="s">
        <v>15</v>
      </c>
      <c r="B21" s="72"/>
      <c r="C21" s="72"/>
      <c r="D21" s="72"/>
      <c r="E21" s="94"/>
      <c r="F21" s="94"/>
      <c r="G21" s="94"/>
      <c r="H21" s="94"/>
      <c r="I21" s="94"/>
      <c r="J21" s="114"/>
      <c r="K21" s="166">
        <f t="shared" si="1"/>
        <v>0</v>
      </c>
      <c r="M21" s="109">
        <v>26972032.48</v>
      </c>
    </row>
    <row r="22" spans="1:13" ht="18" customHeight="1">
      <c r="A22" s="78" t="s">
        <v>206</v>
      </c>
      <c r="B22" s="72"/>
      <c r="C22" s="72"/>
      <c r="D22" s="72"/>
      <c r="E22" s="94"/>
      <c r="F22" s="94"/>
      <c r="G22" s="94"/>
      <c r="H22" s="94"/>
      <c r="I22" s="94"/>
      <c r="J22" s="114">
        <f>SUM(E22:I22)</f>
        <v>0</v>
      </c>
      <c r="K22" s="166"/>
    </row>
    <row r="23" spans="1:13" ht="18" customHeight="1">
      <c r="A23" s="78" t="s">
        <v>251</v>
      </c>
      <c r="B23" s="72"/>
      <c r="C23" s="72"/>
      <c r="D23" s="72"/>
      <c r="E23" s="94"/>
      <c r="F23" s="94"/>
      <c r="G23" s="94"/>
      <c r="H23" s="94"/>
      <c r="I23" s="94"/>
      <c r="J23" s="114">
        <f t="shared" ref="J23:J42" si="3">SUM(E23:I23)</f>
        <v>0</v>
      </c>
      <c r="K23" s="166">
        <f t="shared" si="1"/>
        <v>0</v>
      </c>
      <c r="L23" s="176">
        <f>518731460.56*0.05</f>
        <v>25936573.028000001</v>
      </c>
      <c r="M23" s="109">
        <v>125607.13</v>
      </c>
    </row>
    <row r="24" spans="1:13" ht="18" customHeight="1">
      <c r="A24" s="78" t="s">
        <v>229</v>
      </c>
      <c r="B24" s="72"/>
      <c r="C24" s="72"/>
      <c r="D24" s="72"/>
      <c r="E24" s="94"/>
      <c r="F24" s="94"/>
      <c r="G24" s="94"/>
      <c r="H24" s="94"/>
      <c r="I24" s="94"/>
      <c r="J24" s="114">
        <f t="shared" si="3"/>
        <v>0</v>
      </c>
      <c r="K24" s="166"/>
      <c r="L24" s="228"/>
    </row>
    <row r="25" spans="1:13" ht="18" customHeight="1">
      <c r="A25" s="78" t="s">
        <v>252</v>
      </c>
      <c r="B25" s="72"/>
      <c r="C25" s="72"/>
      <c r="D25" s="72"/>
      <c r="E25" s="94"/>
      <c r="F25" s="94">
        <v>324290</v>
      </c>
      <c r="G25" s="94"/>
      <c r="H25" s="94"/>
      <c r="I25" s="94"/>
      <c r="J25" s="114">
        <f t="shared" si="3"/>
        <v>324290</v>
      </c>
      <c r="K25" s="166">
        <f t="shared" si="1"/>
        <v>324290</v>
      </c>
      <c r="L25" s="109" t="e">
        <f>L23-K13</f>
        <v>#REF!</v>
      </c>
      <c r="M25" s="109">
        <v>510000</v>
      </c>
    </row>
    <row r="26" spans="1:13" ht="18" customHeight="1">
      <c r="A26" s="78" t="s">
        <v>71</v>
      </c>
      <c r="B26" s="72"/>
      <c r="C26" s="72"/>
      <c r="D26" s="72"/>
      <c r="E26" s="94"/>
      <c r="F26" s="94">
        <v>472295.5</v>
      </c>
      <c r="G26" s="94"/>
      <c r="H26" s="94"/>
      <c r="I26" s="94"/>
      <c r="J26" s="114">
        <f t="shared" si="3"/>
        <v>472295.5</v>
      </c>
      <c r="K26" s="166">
        <f t="shared" si="1"/>
        <v>472295.5</v>
      </c>
      <c r="M26" s="109">
        <v>1430000</v>
      </c>
    </row>
    <row r="27" spans="1:13" ht="18" customHeight="1">
      <c r="A27" s="79" t="s">
        <v>269</v>
      </c>
      <c r="B27" s="72"/>
      <c r="C27" s="72"/>
      <c r="D27" s="72"/>
      <c r="E27" s="94"/>
      <c r="F27" s="94">
        <v>32400</v>
      </c>
      <c r="G27" s="94"/>
      <c r="H27" s="94"/>
      <c r="I27" s="94"/>
      <c r="J27" s="114">
        <f t="shared" si="3"/>
        <v>32400</v>
      </c>
      <c r="K27" s="166">
        <f t="shared" si="1"/>
        <v>32400</v>
      </c>
      <c r="M27" s="109">
        <v>4285413.1100000003</v>
      </c>
    </row>
    <row r="28" spans="1:13" ht="18" customHeight="1">
      <c r="A28" s="78" t="s">
        <v>17</v>
      </c>
      <c r="B28" s="72"/>
      <c r="C28" s="72"/>
      <c r="D28" s="72"/>
      <c r="E28" s="94"/>
      <c r="F28" s="94"/>
      <c r="G28" s="94"/>
      <c r="H28" s="94"/>
      <c r="I28" s="94"/>
      <c r="J28" s="114">
        <f t="shared" si="3"/>
        <v>0</v>
      </c>
      <c r="K28" s="166">
        <f t="shared" si="1"/>
        <v>0</v>
      </c>
      <c r="M28" s="109">
        <v>3777930</v>
      </c>
    </row>
    <row r="29" spans="1:13" ht="18" customHeight="1">
      <c r="A29" s="78" t="s">
        <v>227</v>
      </c>
      <c r="B29" s="72"/>
      <c r="C29" s="72"/>
      <c r="D29" s="72"/>
      <c r="E29" s="94"/>
      <c r="F29" s="94"/>
      <c r="G29" s="94"/>
      <c r="H29" s="94"/>
      <c r="I29" s="94" t="s">
        <v>271</v>
      </c>
      <c r="J29" s="114">
        <f t="shared" si="3"/>
        <v>0</v>
      </c>
      <c r="K29" s="166">
        <f t="shared" si="1"/>
        <v>0</v>
      </c>
      <c r="L29" s="118" t="s">
        <v>162</v>
      </c>
      <c r="M29" s="109">
        <v>100</v>
      </c>
    </row>
    <row r="30" spans="1:13" ht="18" customHeight="1">
      <c r="A30" s="78" t="s">
        <v>213</v>
      </c>
      <c r="B30" s="72"/>
      <c r="C30" s="72"/>
      <c r="D30" s="72"/>
      <c r="E30" s="94"/>
      <c r="F30" s="94">
        <v>71300</v>
      </c>
      <c r="G30" s="94"/>
      <c r="H30" s="94"/>
      <c r="I30" s="94"/>
      <c r="J30" s="114">
        <f t="shared" si="3"/>
        <v>71300</v>
      </c>
      <c r="K30" s="166"/>
      <c r="L30" s="118"/>
      <c r="M30" s="109">
        <f>SUM(M23:M29)</f>
        <v>10129050.24</v>
      </c>
    </row>
    <row r="31" spans="1:13" ht="18" customHeight="1">
      <c r="A31" s="78" t="s">
        <v>250</v>
      </c>
      <c r="B31" s="72"/>
      <c r="C31" s="72"/>
      <c r="D31" s="72"/>
      <c r="E31" s="94"/>
      <c r="F31" s="94">
        <v>82300</v>
      </c>
      <c r="G31" s="94"/>
      <c r="H31" s="94"/>
      <c r="I31" s="94"/>
      <c r="J31" s="114">
        <f t="shared" si="3"/>
        <v>82300</v>
      </c>
      <c r="K31" s="166"/>
      <c r="L31" s="118"/>
    </row>
    <row r="32" spans="1:13" ht="18" customHeight="1">
      <c r="A32" s="78" t="s">
        <v>214</v>
      </c>
      <c r="B32" s="72"/>
      <c r="C32" s="72"/>
      <c r="D32" s="72"/>
      <c r="E32" s="94"/>
      <c r="F32" s="94">
        <v>144960</v>
      </c>
      <c r="G32" s="94"/>
      <c r="H32" s="94"/>
      <c r="I32" s="94"/>
      <c r="J32" s="114">
        <f t="shared" si="3"/>
        <v>144960</v>
      </c>
      <c r="K32" s="227" t="s">
        <v>226</v>
      </c>
      <c r="L32" s="118"/>
    </row>
    <row r="33" spans="1:13" ht="18" customHeight="1">
      <c r="A33" s="78" t="s">
        <v>249</v>
      </c>
      <c r="B33" s="72"/>
      <c r="C33" s="72"/>
      <c r="D33" s="72"/>
      <c r="E33" s="94"/>
      <c r="F33" s="94">
        <v>22885.88</v>
      </c>
      <c r="G33" s="94"/>
      <c r="H33" s="94"/>
      <c r="I33" s="94"/>
      <c r="J33" s="114">
        <f t="shared" si="3"/>
        <v>22885.88</v>
      </c>
      <c r="K33" s="227"/>
      <c r="L33" s="118"/>
    </row>
    <row r="34" spans="1:13" ht="18" customHeight="1">
      <c r="A34" s="78" t="s">
        <v>102</v>
      </c>
      <c r="B34" s="72"/>
      <c r="C34" s="72"/>
      <c r="D34" s="72"/>
      <c r="E34" s="94"/>
      <c r="F34" s="94">
        <v>14707</v>
      </c>
      <c r="G34" s="94"/>
      <c r="H34" s="94"/>
      <c r="I34" s="94"/>
      <c r="J34" s="114">
        <f t="shared" si="3"/>
        <v>14707</v>
      </c>
      <c r="K34" s="226">
        <f t="shared" si="1"/>
        <v>14707</v>
      </c>
      <c r="L34" s="109">
        <f>SUM(F29:F34)</f>
        <v>336152.88</v>
      </c>
    </row>
    <row r="35" spans="1:13" ht="18" customHeight="1">
      <c r="A35" s="78" t="s">
        <v>19</v>
      </c>
      <c r="B35" s="72"/>
      <c r="C35" s="72"/>
      <c r="D35" s="72"/>
      <c r="E35" s="94"/>
      <c r="F35" s="94"/>
      <c r="G35" s="94"/>
      <c r="H35" s="94"/>
      <c r="I35" s="94"/>
      <c r="J35" s="114">
        <f t="shared" si="3"/>
        <v>0</v>
      </c>
      <c r="K35" s="166">
        <f t="shared" si="1"/>
        <v>0</v>
      </c>
      <c r="L35" s="109">
        <v>147060</v>
      </c>
    </row>
    <row r="36" spans="1:13" ht="18" customHeight="1">
      <c r="A36" s="78" t="s">
        <v>168</v>
      </c>
      <c r="B36" s="72"/>
      <c r="C36" s="72"/>
      <c r="D36" s="72"/>
      <c r="E36" s="94"/>
      <c r="F36" s="94"/>
      <c r="G36" s="94"/>
      <c r="H36" s="94"/>
      <c r="I36" s="94"/>
      <c r="J36" s="114">
        <f t="shared" si="3"/>
        <v>0</v>
      </c>
      <c r="K36" s="166">
        <f t="shared" si="1"/>
        <v>0</v>
      </c>
    </row>
    <row r="37" spans="1:13" ht="18" customHeight="1">
      <c r="A37" s="78" t="s">
        <v>208</v>
      </c>
      <c r="B37" s="72"/>
      <c r="C37" s="72"/>
      <c r="D37" s="72"/>
      <c r="E37" s="94"/>
      <c r="F37" s="94"/>
      <c r="G37" s="94"/>
      <c r="H37" s="94"/>
      <c r="I37" s="94"/>
      <c r="J37" s="114">
        <f t="shared" si="3"/>
        <v>0</v>
      </c>
      <c r="K37" s="166">
        <f t="shared" si="1"/>
        <v>0</v>
      </c>
      <c r="L37" s="109">
        <v>1555500</v>
      </c>
    </row>
    <row r="38" spans="1:13" ht="18" customHeight="1">
      <c r="A38" s="78" t="s">
        <v>207</v>
      </c>
      <c r="B38" s="72"/>
      <c r="C38" s="72"/>
      <c r="D38" s="72"/>
      <c r="E38" s="94"/>
      <c r="F38" s="94"/>
      <c r="G38" s="94"/>
      <c r="H38" s="94"/>
      <c r="I38" s="94"/>
      <c r="J38" s="114">
        <f t="shared" si="3"/>
        <v>0</v>
      </c>
      <c r="K38" s="166"/>
    </row>
    <row r="39" spans="1:13" ht="18" customHeight="1">
      <c r="A39" s="79" t="s">
        <v>94</v>
      </c>
      <c r="B39" s="72"/>
      <c r="C39" s="72"/>
      <c r="D39" s="72"/>
      <c r="E39" s="94"/>
      <c r="F39" s="94"/>
      <c r="G39" s="94"/>
      <c r="H39" s="94"/>
      <c r="I39" s="94"/>
      <c r="J39" s="114">
        <f t="shared" si="3"/>
        <v>0</v>
      </c>
      <c r="K39" s="166">
        <f t="shared" si="1"/>
        <v>0</v>
      </c>
      <c r="L39" s="109">
        <v>177000</v>
      </c>
    </row>
    <row r="40" spans="1:13" ht="18" customHeight="1">
      <c r="A40" s="79" t="s">
        <v>95</v>
      </c>
      <c r="B40" s="72"/>
      <c r="C40" s="72"/>
      <c r="D40" s="72"/>
      <c r="E40" s="94"/>
      <c r="F40" s="94"/>
      <c r="G40" s="94"/>
      <c r="H40" s="94"/>
      <c r="I40" s="94"/>
      <c r="J40" s="114">
        <f t="shared" si="3"/>
        <v>0</v>
      </c>
      <c r="K40" s="166">
        <f t="shared" si="1"/>
        <v>0</v>
      </c>
      <c r="L40" s="109">
        <v>204055</v>
      </c>
    </row>
    <row r="41" spans="1:13" ht="18" customHeight="1">
      <c r="A41" s="78" t="s">
        <v>96</v>
      </c>
      <c r="B41" s="72"/>
      <c r="C41" s="72"/>
      <c r="D41" s="72"/>
      <c r="E41" s="94"/>
      <c r="F41" s="94"/>
      <c r="G41" s="94"/>
      <c r="H41" s="94"/>
      <c r="I41" s="94"/>
      <c r="J41" s="114">
        <f t="shared" si="3"/>
        <v>0</v>
      </c>
      <c r="K41" s="166">
        <f t="shared" si="1"/>
        <v>0</v>
      </c>
      <c r="L41" s="109">
        <v>71070</v>
      </c>
    </row>
    <row r="42" spans="1:13" ht="18" customHeight="1">
      <c r="A42" s="84" t="s">
        <v>92</v>
      </c>
      <c r="B42" s="63"/>
      <c r="C42" s="63"/>
      <c r="D42" s="63"/>
      <c r="E42" s="94">
        <f t="shared" ref="E42:I42" si="4">SUM(E22:E41)</f>
        <v>0</v>
      </c>
      <c r="F42" s="94">
        <f t="shared" si="4"/>
        <v>1165138.3799999999</v>
      </c>
      <c r="G42" s="94">
        <f t="shared" si="4"/>
        <v>0</v>
      </c>
      <c r="H42" s="94">
        <f t="shared" si="4"/>
        <v>0</v>
      </c>
      <c r="I42" s="94">
        <f t="shared" si="4"/>
        <v>0</v>
      </c>
      <c r="J42" s="264">
        <f t="shared" si="3"/>
        <v>1165138.3799999999</v>
      </c>
      <c r="K42" s="166">
        <f t="shared" si="1"/>
        <v>1165138.3799999999</v>
      </c>
      <c r="L42" s="109">
        <v>27800</v>
      </c>
      <c r="M42" s="46"/>
    </row>
    <row r="43" spans="1:13" ht="18" customHeight="1">
      <c r="A43" s="84" t="s">
        <v>103</v>
      </c>
      <c r="B43" s="63"/>
      <c r="C43" s="63"/>
      <c r="D43" s="63"/>
      <c r="E43" s="103">
        <f>SUM('DRRM Funds Sept2015'!E44)</f>
        <v>0</v>
      </c>
      <c r="F43" s="103">
        <f>SUM('DRRM Funds Sept2015'!F44)</f>
        <v>16172080.319999998</v>
      </c>
      <c r="G43" s="103">
        <f>SUM('DRRM Funds Sept2015'!G44)</f>
        <v>0</v>
      </c>
      <c r="H43" s="103">
        <f>SUM('DRRM Funds Sept2015'!H44)</f>
        <v>0</v>
      </c>
      <c r="I43" s="103">
        <f>SUM('DRRM Funds Sept2015'!I44)</f>
        <v>0</v>
      </c>
      <c r="J43" s="103">
        <f>SUM('DRRM Funds Sept2015'!J44)</f>
        <v>16172080.319999998</v>
      </c>
      <c r="K43" s="166">
        <f t="shared" si="1"/>
        <v>16172080.319999998</v>
      </c>
      <c r="L43" s="109">
        <v>126865</v>
      </c>
      <c r="M43" s="109">
        <f>SUM(E43:H43)</f>
        <v>16172080.319999998</v>
      </c>
    </row>
    <row r="44" spans="1:13" ht="18" customHeight="1">
      <c r="A44" s="84" t="s">
        <v>104</v>
      </c>
      <c r="B44" s="63"/>
      <c r="C44" s="63"/>
      <c r="D44" s="63"/>
      <c r="E44" s="103">
        <f>SUM(E42:E43)</f>
        <v>0</v>
      </c>
      <c r="F44" s="103">
        <f>SUM(F42:F43)</f>
        <v>17337218.699999999</v>
      </c>
      <c r="G44" s="103">
        <f t="shared" ref="G44:J44" si="5">SUM(G42:G43)</f>
        <v>0</v>
      </c>
      <c r="H44" s="103">
        <f t="shared" si="5"/>
        <v>0</v>
      </c>
      <c r="I44" s="103">
        <f t="shared" si="5"/>
        <v>0</v>
      </c>
      <c r="J44" s="103">
        <f t="shared" si="5"/>
        <v>17337218.699999999</v>
      </c>
      <c r="K44" s="166">
        <f t="shared" si="1"/>
        <v>17337218.699999999</v>
      </c>
      <c r="L44" s="174">
        <f>SUM(L34:L43)</f>
        <v>2645502.88</v>
      </c>
      <c r="M44" s="109">
        <v>10492358.970000001</v>
      </c>
    </row>
    <row r="45" spans="1:13" ht="18" customHeight="1">
      <c r="A45" s="70" t="s">
        <v>93</v>
      </c>
      <c r="B45" s="72"/>
      <c r="C45" s="72"/>
      <c r="D45" s="80"/>
      <c r="E45" s="231">
        <f t="shared" ref="E45:J45" si="6">E20-E42</f>
        <v>17525940.116899997</v>
      </c>
      <c r="F45" s="231">
        <f t="shared" si="6"/>
        <v>23953178.636099994</v>
      </c>
      <c r="G45" s="231">
        <f t="shared" si="6"/>
        <v>0</v>
      </c>
      <c r="H45" s="231">
        <f t="shared" si="6"/>
        <v>0</v>
      </c>
      <c r="I45" s="231">
        <f t="shared" si="6"/>
        <v>0</v>
      </c>
      <c r="J45" s="231">
        <f t="shared" si="6"/>
        <v>41479118.752999991</v>
      </c>
      <c r="K45" s="166">
        <f>SUM(E45:I45)</f>
        <v>41479118.752999991</v>
      </c>
      <c r="L45" s="46"/>
      <c r="M45" s="109">
        <f>M44-L44</f>
        <v>7846856.0900000008</v>
      </c>
    </row>
    <row r="46" spans="1:13" ht="18" customHeight="1">
      <c r="A46" s="55"/>
      <c r="B46" s="55"/>
      <c r="C46" s="55"/>
      <c r="D46" s="55"/>
      <c r="E46" s="55"/>
      <c r="F46" s="55"/>
      <c r="G46" s="55"/>
      <c r="H46" s="55"/>
      <c r="I46" s="55"/>
      <c r="J46" s="115" t="s">
        <v>74</v>
      </c>
      <c r="K46" s="92">
        <f>SUM(E45:F45)</f>
        <v>41479118.752999991</v>
      </c>
      <c r="M46" s="109">
        <v>0</v>
      </c>
    </row>
    <row r="47" spans="1:13">
      <c r="A47" s="55" t="s">
        <v>83</v>
      </c>
      <c r="B47" s="55"/>
      <c r="C47" s="55"/>
      <c r="D47" s="55"/>
      <c r="E47" s="55"/>
      <c r="F47" s="55"/>
      <c r="G47" s="55"/>
      <c r="H47" s="55" t="s">
        <v>29</v>
      </c>
      <c r="I47" s="55"/>
      <c r="J47" s="115"/>
      <c r="K47" s="55"/>
      <c r="L47" s="109">
        <v>752760</v>
      </c>
    </row>
    <row r="48" spans="1:13">
      <c r="A48" s="55"/>
      <c r="B48" s="55"/>
      <c r="C48" s="55"/>
      <c r="D48" s="55"/>
      <c r="E48" s="55"/>
      <c r="F48" s="55"/>
      <c r="G48" s="55"/>
      <c r="H48" s="55"/>
      <c r="I48" s="55"/>
      <c r="J48" s="115"/>
      <c r="K48" s="55"/>
      <c r="L48" s="109">
        <v>902075</v>
      </c>
    </row>
    <row r="49" spans="1:13">
      <c r="A49" s="82" t="s">
        <v>202</v>
      </c>
      <c r="B49" s="55"/>
      <c r="C49" s="55"/>
      <c r="D49" s="55"/>
      <c r="E49" s="55"/>
      <c r="F49" s="55"/>
      <c r="G49" s="55"/>
      <c r="H49" s="241" t="s">
        <v>194</v>
      </c>
      <c r="I49" s="55"/>
      <c r="J49" s="115"/>
      <c r="K49" s="55"/>
      <c r="L49" s="109">
        <v>504234.65</v>
      </c>
      <c r="M49" s="109">
        <v>8736531.7100000009</v>
      </c>
    </row>
    <row r="50" spans="1:13">
      <c r="A50" s="140" t="s">
        <v>203</v>
      </c>
      <c r="B50" s="55"/>
      <c r="C50" s="55"/>
      <c r="D50" s="55"/>
      <c r="E50" s="55"/>
      <c r="F50" s="55"/>
      <c r="G50" s="55"/>
      <c r="H50" s="140" t="s">
        <v>195</v>
      </c>
      <c r="I50" s="55"/>
      <c r="J50" s="115"/>
      <c r="K50" s="55"/>
      <c r="L50" s="109">
        <v>899145</v>
      </c>
      <c r="M50" s="109">
        <v>10140</v>
      </c>
    </row>
    <row r="51" spans="1:13">
      <c r="A51" s="55"/>
      <c r="B51" s="55"/>
      <c r="C51" s="55"/>
      <c r="D51" s="55"/>
      <c r="E51" s="121" t="s">
        <v>237</v>
      </c>
      <c r="F51" s="55"/>
      <c r="G51" s="55"/>
      <c r="H51" s="55"/>
      <c r="I51" s="55"/>
      <c r="J51" s="115"/>
      <c r="K51" s="55"/>
      <c r="L51" s="109">
        <v>1087927.3999999999</v>
      </c>
      <c r="M51" s="109">
        <f>SUM(M49:M50)</f>
        <v>8746671.7100000009</v>
      </c>
    </row>
    <row r="52" spans="1:13">
      <c r="A52" s="55"/>
      <c r="B52" s="55"/>
      <c r="C52" s="55"/>
      <c r="D52" s="55"/>
      <c r="E52" s="115"/>
      <c r="F52" s="55"/>
      <c r="G52" s="55"/>
      <c r="H52" s="55"/>
      <c r="I52" s="115"/>
      <c r="J52" s="115"/>
      <c r="K52" s="55"/>
      <c r="L52" s="109">
        <v>2896515.5</v>
      </c>
    </row>
    <row r="53" spans="1:13">
      <c r="A53" s="55"/>
      <c r="B53" s="55"/>
      <c r="C53" s="55"/>
      <c r="D53" s="55"/>
      <c r="E53" s="82" t="s">
        <v>149</v>
      </c>
      <c r="F53" s="55"/>
      <c r="G53" s="55"/>
      <c r="H53" s="55"/>
      <c r="I53" s="115"/>
      <c r="J53" s="115"/>
      <c r="K53" s="55"/>
    </row>
    <row r="54" spans="1:13">
      <c r="A54" s="55"/>
      <c r="B54" s="55"/>
      <c r="C54" s="55"/>
      <c r="D54" s="55"/>
      <c r="E54" s="55" t="s">
        <v>238</v>
      </c>
      <c r="F54" s="55"/>
      <c r="G54" s="55"/>
      <c r="H54" s="55"/>
      <c r="I54" s="115"/>
      <c r="J54" s="115"/>
      <c r="K54" s="55"/>
      <c r="L54" s="109">
        <v>120000</v>
      </c>
    </row>
    <row r="55" spans="1:13">
      <c r="I55" s="109"/>
      <c r="M55" s="46"/>
    </row>
    <row r="56" spans="1:13">
      <c r="F56" s="121">
        <f>F18-F57</f>
        <v>-1173093.7943999991</v>
      </c>
      <c r="I56" s="109"/>
      <c r="K56" s="55"/>
      <c r="L56" s="115">
        <v>630000</v>
      </c>
      <c r="M56" s="183">
        <v>10644424.82</v>
      </c>
    </row>
    <row r="57" spans="1:13">
      <c r="F57" s="115">
        <f>49980+103610+255752.8+265335+81917.75+32889+315132+287135.25+143400+640002.5</f>
        <v>2175154.2999999998</v>
      </c>
      <c r="I57" s="109"/>
      <c r="J57" s="109">
        <v>7850000</v>
      </c>
      <c r="L57" s="109">
        <v>1000000</v>
      </c>
      <c r="M57" s="183">
        <v>13157941.960000001</v>
      </c>
    </row>
    <row r="58" spans="1:13">
      <c r="I58" s="109"/>
      <c r="J58" s="109">
        <v>800000</v>
      </c>
      <c r="L58" s="109">
        <v>1300000</v>
      </c>
      <c r="M58" s="184">
        <v>0</v>
      </c>
    </row>
    <row r="59" spans="1:13">
      <c r="I59" s="109"/>
      <c r="J59" s="109">
        <v>1200000</v>
      </c>
      <c r="L59" s="109">
        <v>2000000</v>
      </c>
      <c r="M59" s="183">
        <f>SUM(M56:M58)</f>
        <v>23802366.780000001</v>
      </c>
    </row>
    <row r="60" spans="1:13">
      <c r="I60" s="109"/>
      <c r="J60" s="109">
        <v>3500000</v>
      </c>
      <c r="L60" s="109">
        <v>150000</v>
      </c>
      <c r="M60" s="183">
        <v>24092226.780000001</v>
      </c>
    </row>
    <row r="61" spans="1:13">
      <c r="I61" s="109">
        <v>100000</v>
      </c>
      <c r="J61" s="116">
        <f>SUM(J57:J60)</f>
        <v>13350000</v>
      </c>
      <c r="L61" s="109">
        <v>4590281.96</v>
      </c>
      <c r="M61" s="183">
        <f>M60-M59</f>
        <v>289860</v>
      </c>
    </row>
    <row r="62" spans="1:13">
      <c r="I62" s="109">
        <v>4589687.1100000003</v>
      </c>
      <c r="J62" s="109">
        <v>16829861.079999998</v>
      </c>
      <c r="L62" s="109">
        <f>SUM(L56:L61)</f>
        <v>9670281.9600000009</v>
      </c>
      <c r="M62" s="46"/>
    </row>
    <row r="63" spans="1:13">
      <c r="I63" s="116">
        <f>SUM(I57:I62)</f>
        <v>4689687.1100000003</v>
      </c>
      <c r="J63" s="109">
        <f>J61-J62</f>
        <v>-3479861.0799999982</v>
      </c>
      <c r="M63" s="109">
        <v>24416573.030000001</v>
      </c>
    </row>
    <row r="64" spans="1:13">
      <c r="I64" s="109">
        <v>7212797.6100000003</v>
      </c>
      <c r="M64" s="109">
        <v>24708913.030000001</v>
      </c>
    </row>
    <row r="65" spans="1:13">
      <c r="I65" s="109">
        <f>I63-I64</f>
        <v>-2523110.5</v>
      </c>
      <c r="M65" s="109">
        <f>M63-M64</f>
        <v>-292340</v>
      </c>
    </row>
    <row r="66" spans="1:13">
      <c r="I66" s="109"/>
      <c r="M66" s="109">
        <v>289860</v>
      </c>
    </row>
    <row r="67" spans="1:13">
      <c r="I67" s="109"/>
      <c r="J67" s="109">
        <v>25346381.800000001</v>
      </c>
      <c r="M67" s="173">
        <f>SUM(M65:M66)</f>
        <v>-2480</v>
      </c>
    </row>
    <row r="68" spans="1:13">
      <c r="I68" s="109"/>
      <c r="J68" s="109">
        <v>24042658.690000001</v>
      </c>
      <c r="M68" s="46"/>
    </row>
    <row r="69" spans="1:13">
      <c r="I69" s="109"/>
      <c r="J69" s="109">
        <f>J67-J68</f>
        <v>1303723.1099999994</v>
      </c>
      <c r="L69" s="109">
        <v>400000</v>
      </c>
      <c r="M69" s="46"/>
    </row>
    <row r="70" spans="1:13">
      <c r="I70" s="109"/>
      <c r="L70" s="109">
        <v>1000000</v>
      </c>
      <c r="M70" s="109">
        <v>25279.7</v>
      </c>
    </row>
    <row r="71" spans="1:13">
      <c r="I71" s="109"/>
      <c r="M71" s="109">
        <v>27759.7</v>
      </c>
    </row>
    <row r="72" spans="1:13">
      <c r="H72" s="109"/>
      <c r="I72" s="109"/>
      <c r="M72" s="173">
        <f>M70-M71</f>
        <v>-2480</v>
      </c>
    </row>
    <row r="73" spans="1:13">
      <c r="H73" s="109">
        <v>4455551.57</v>
      </c>
      <c r="I73" s="109"/>
      <c r="J73" s="109">
        <v>17496381.800000001</v>
      </c>
      <c r="M73" s="46"/>
    </row>
    <row r="74" spans="1:13">
      <c r="H74" s="109">
        <v>5760963.6399999997</v>
      </c>
      <c r="I74" s="109"/>
      <c r="J74" s="109">
        <v>7850000</v>
      </c>
      <c r="M74" s="46"/>
    </row>
    <row r="75" spans="1:13">
      <c r="H75" s="109">
        <f>SUM(H73:H74)</f>
        <v>10216515.210000001</v>
      </c>
      <c r="I75" s="109"/>
      <c r="J75" s="109">
        <f>SUM(J73:J74)</f>
        <v>25346381.800000001</v>
      </c>
      <c r="M75" s="46"/>
    </row>
    <row r="76" spans="1:13" s="109" customFormat="1">
      <c r="A76" s="46"/>
      <c r="B76" s="46"/>
      <c r="C76" s="46"/>
      <c r="D76" s="46"/>
      <c r="E76" s="46"/>
      <c r="F76" s="46"/>
      <c r="G76" s="46"/>
    </row>
    <row r="77" spans="1:13" s="109" customFormat="1">
      <c r="A77" s="46"/>
      <c r="B77" s="46"/>
      <c r="C77" s="46"/>
      <c r="D77" s="46"/>
      <c r="E77" s="46"/>
      <c r="F77" s="46"/>
      <c r="G77" s="46"/>
    </row>
    <row r="78" spans="1:13" s="109" customFormat="1">
      <c r="A78" s="46"/>
      <c r="B78" s="46"/>
      <c r="C78" s="46"/>
      <c r="D78" s="46"/>
      <c r="E78" s="46"/>
      <c r="F78" s="46"/>
      <c r="G78" s="46"/>
    </row>
    <row r="79" spans="1:13" s="109" customFormat="1">
      <c r="A79" s="46"/>
      <c r="B79" s="46"/>
      <c r="C79" s="46"/>
      <c r="D79" s="46"/>
      <c r="E79" s="46"/>
      <c r="F79" s="46"/>
      <c r="G79" s="46"/>
    </row>
    <row r="80" spans="1:13" s="109" customFormat="1">
      <c r="A80" s="46"/>
      <c r="B80" s="46"/>
      <c r="C80" s="46"/>
      <c r="D80" s="46"/>
      <c r="E80" s="46"/>
      <c r="F80" s="46"/>
      <c r="G80" s="46"/>
    </row>
    <row r="81" spans="1:11" s="109" customFormat="1">
      <c r="A81" s="46"/>
      <c r="B81" s="46"/>
      <c r="C81" s="46"/>
      <c r="D81" s="46"/>
      <c r="E81" s="46"/>
      <c r="F81" s="46"/>
      <c r="G81" s="46"/>
    </row>
    <row r="82" spans="1:11" s="109" customFormat="1">
      <c r="A82" s="46"/>
      <c r="B82" s="46"/>
      <c r="C82" s="46"/>
      <c r="D82" s="46"/>
      <c r="E82" s="46"/>
      <c r="F82" s="46"/>
      <c r="G82" s="46"/>
      <c r="H82" s="46"/>
    </row>
    <row r="83" spans="1:11" s="109" customFormat="1">
      <c r="A83" s="46"/>
      <c r="B83" s="46"/>
      <c r="C83" s="46"/>
      <c r="D83" s="46"/>
      <c r="E83" s="46"/>
      <c r="F83" s="46"/>
      <c r="G83" s="46"/>
      <c r="H83" s="46"/>
    </row>
    <row r="84" spans="1:11" s="109" customFormat="1">
      <c r="A84" s="46"/>
      <c r="B84" s="46"/>
      <c r="C84" s="46"/>
      <c r="D84" s="46"/>
      <c r="E84" s="46"/>
      <c r="F84" s="46"/>
      <c r="G84" s="46"/>
      <c r="H84" s="46"/>
    </row>
    <row r="85" spans="1:11" s="109" customFormat="1">
      <c r="A85" s="46"/>
      <c r="B85" s="46"/>
      <c r="C85" s="46"/>
      <c r="D85" s="46"/>
      <c r="E85" s="46"/>
      <c r="F85" s="46"/>
      <c r="G85" s="46"/>
      <c r="H85" s="46"/>
    </row>
    <row r="86" spans="1:11" s="109" customFormat="1">
      <c r="A86" s="46"/>
      <c r="B86" s="46"/>
      <c r="C86" s="46"/>
      <c r="D86" s="46"/>
      <c r="E86" s="46"/>
      <c r="F86" s="46"/>
      <c r="G86" s="46"/>
      <c r="H86" s="46"/>
      <c r="K86" s="46"/>
    </row>
    <row r="87" spans="1:11" s="109" customFormat="1">
      <c r="A87" s="46"/>
      <c r="B87" s="46"/>
      <c r="C87" s="46"/>
      <c r="D87" s="46"/>
      <c r="E87" s="46"/>
      <c r="F87" s="46"/>
      <c r="G87" s="46"/>
      <c r="H87" s="46"/>
      <c r="K87" s="46"/>
    </row>
    <row r="88" spans="1:11" s="109" customFormat="1">
      <c r="A88" s="46"/>
      <c r="B88" s="46"/>
      <c r="C88" s="46"/>
      <c r="D88" s="46"/>
      <c r="E88" s="46"/>
      <c r="F88" s="46"/>
      <c r="G88" s="46"/>
      <c r="H88" s="46"/>
      <c r="K88" s="46"/>
    </row>
    <row r="89" spans="1:11" s="109" customFormat="1">
      <c r="A89" s="46"/>
      <c r="B89" s="46"/>
      <c r="C89" s="46"/>
      <c r="D89" s="46"/>
      <c r="E89" s="46"/>
      <c r="F89" s="46"/>
      <c r="G89" s="46"/>
      <c r="H89" s="46"/>
      <c r="K89" s="46"/>
    </row>
    <row r="90" spans="1:11" s="109" customFormat="1">
      <c r="A90" s="46"/>
      <c r="B90" s="46"/>
      <c r="C90" s="46"/>
      <c r="D90" s="46"/>
      <c r="E90" s="46"/>
      <c r="F90" s="46"/>
      <c r="G90" s="46"/>
      <c r="H90" s="46"/>
      <c r="K90" s="46"/>
    </row>
    <row r="91" spans="1:11" s="109" customFormat="1">
      <c r="A91" s="46"/>
      <c r="B91" s="46"/>
      <c r="C91" s="46"/>
      <c r="D91" s="46"/>
      <c r="E91" s="46"/>
      <c r="F91" s="46"/>
      <c r="G91" s="46"/>
      <c r="H91" s="46"/>
      <c r="K91" s="46"/>
    </row>
    <row r="92" spans="1:11" s="109" customFormat="1">
      <c r="A92" s="46"/>
      <c r="B92" s="46"/>
      <c r="C92" s="46"/>
      <c r="D92" s="46"/>
      <c r="E92" s="46"/>
      <c r="F92" s="46"/>
      <c r="G92" s="46"/>
      <c r="H92" s="46"/>
      <c r="K92" s="46"/>
    </row>
    <row r="93" spans="1:11" s="109" customFormat="1">
      <c r="A93" s="46"/>
      <c r="B93" s="46"/>
      <c r="C93" s="46"/>
      <c r="D93" s="46"/>
      <c r="E93" s="46"/>
      <c r="F93" s="46"/>
      <c r="G93" s="46"/>
      <c r="H93" s="46"/>
      <c r="K93" s="46"/>
    </row>
    <row r="94" spans="1:11" s="109" customFormat="1">
      <c r="A94" s="46"/>
      <c r="B94" s="46"/>
      <c r="C94" s="46"/>
      <c r="D94" s="46"/>
      <c r="E94" s="46"/>
      <c r="F94" s="46"/>
      <c r="G94" s="46"/>
      <c r="H94" s="46"/>
      <c r="K94" s="46"/>
    </row>
    <row r="95" spans="1:11" s="109" customFormat="1">
      <c r="A95" s="46"/>
      <c r="B95" s="46"/>
      <c r="C95" s="46"/>
      <c r="D95" s="46"/>
      <c r="E95" s="46"/>
      <c r="F95" s="46"/>
      <c r="G95" s="46"/>
      <c r="H95" s="46"/>
      <c r="K95" s="46"/>
    </row>
    <row r="96" spans="1:11" s="109" customFormat="1">
      <c r="A96" s="46"/>
      <c r="B96" s="46"/>
      <c r="C96" s="46"/>
      <c r="D96" s="46"/>
      <c r="E96" s="46"/>
      <c r="F96" s="46"/>
      <c r="G96" s="46"/>
      <c r="H96" s="46"/>
      <c r="K96" s="46"/>
    </row>
    <row r="97" spans="1:11" s="109" customFormat="1">
      <c r="A97" s="46"/>
      <c r="B97" s="46"/>
      <c r="C97" s="46"/>
      <c r="D97" s="46"/>
      <c r="E97" s="46"/>
      <c r="F97" s="46"/>
      <c r="G97" s="46"/>
      <c r="H97" s="46"/>
      <c r="K97" s="46"/>
    </row>
    <row r="98" spans="1:11" s="109" customFormat="1">
      <c r="A98" s="46"/>
      <c r="B98" s="46"/>
      <c r="C98" s="46"/>
      <c r="D98" s="46"/>
      <c r="E98" s="46"/>
      <c r="F98" s="46"/>
      <c r="G98" s="46"/>
      <c r="H98" s="46"/>
      <c r="K98" s="46"/>
    </row>
  </sheetData>
  <mergeCells count="3">
    <mergeCell ref="A2:J2"/>
    <mergeCell ref="A3:J3"/>
    <mergeCell ref="A4:J4"/>
  </mergeCells>
  <printOptions horizontalCentered="1"/>
  <pageMargins left="0.02" right="0.15" top="0.39" bottom="0.1" header="0.21" footer="0.1"/>
  <pageSetup scale="84" orientation="portrait" horizontalDpi="4294967294" verticalDpi="30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38"/>
  <sheetViews>
    <sheetView topLeftCell="A19" workbookViewId="0">
      <selection activeCell="A19" sqref="A1:XFD1048576"/>
    </sheetView>
  </sheetViews>
  <sheetFormatPr defaultRowHeight="15"/>
  <cols>
    <col min="1" max="1" width="13.42578125" customWidth="1"/>
    <col min="2" max="2" width="4.7109375" customWidth="1"/>
    <col min="3" max="3" width="15.28515625" style="246" customWidth="1"/>
    <col min="4" max="4" width="3.7109375" customWidth="1"/>
    <col min="5" max="5" width="15.42578125" style="246" customWidth="1"/>
    <col min="6" max="6" width="18" customWidth="1"/>
    <col min="8" max="8" width="14.85546875" customWidth="1"/>
    <col min="11" max="11" width="15.85546875" style="246" customWidth="1"/>
  </cols>
  <sheetData>
    <row r="1" spans="1:1">
      <c r="A1" s="247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257</v>
      </c>
    </row>
    <row r="8" spans="1:1">
      <c r="A8" t="s">
        <v>258</v>
      </c>
    </row>
    <row r="9" spans="1:1">
      <c r="A9" t="s">
        <v>259</v>
      </c>
    </row>
    <row r="10" spans="1:1">
      <c r="A10" t="s">
        <v>260</v>
      </c>
    </row>
    <row r="11" spans="1:1">
      <c r="A11" t="s">
        <v>261</v>
      </c>
    </row>
    <row r="12" spans="1:1">
      <c r="A12" t="s">
        <v>262</v>
      </c>
    </row>
    <row r="16" spans="1:1">
      <c r="A16" s="247" t="s">
        <v>263</v>
      </c>
    </row>
    <row r="19" spans="1:11">
      <c r="C19" s="250" t="s">
        <v>264</v>
      </c>
      <c r="D19" s="251"/>
      <c r="E19" s="250" t="s">
        <v>265</v>
      </c>
    </row>
    <row r="21" spans="1:11">
      <c r="A21" t="s">
        <v>254</v>
      </c>
      <c r="C21" s="280">
        <v>1327467.75</v>
      </c>
      <c r="F21" s="252">
        <f>C21+E21</f>
        <v>1327467.75</v>
      </c>
    </row>
    <row r="22" spans="1:11">
      <c r="A22" t="s">
        <v>255</v>
      </c>
      <c r="C22" s="280">
        <v>4635272</v>
      </c>
      <c r="E22" s="246">
        <v>1035357.6</v>
      </c>
      <c r="F22" s="252">
        <f t="shared" ref="F22:F29" si="0">C22+E22</f>
        <v>5670629.5999999996</v>
      </c>
    </row>
    <row r="23" spans="1:11">
      <c r="A23" t="s">
        <v>256</v>
      </c>
      <c r="C23" s="246">
        <v>543103</v>
      </c>
      <c r="E23" s="246">
        <f>940806.1+1593700</f>
        <v>2534506.1</v>
      </c>
      <c r="F23" s="252">
        <f t="shared" si="0"/>
        <v>3077609.1</v>
      </c>
    </row>
    <row r="24" spans="1:11">
      <c r="A24" t="s">
        <v>257</v>
      </c>
      <c r="C24" s="246">
        <v>168454</v>
      </c>
      <c r="E24" s="246">
        <f>685725.2-168454</f>
        <v>517271.19999999995</v>
      </c>
      <c r="F24" s="252">
        <f t="shared" si="0"/>
        <v>685725.2</v>
      </c>
    </row>
    <row r="25" spans="1:11">
      <c r="A25" t="s">
        <v>258</v>
      </c>
      <c r="C25" s="246">
        <v>57800</v>
      </c>
      <c r="E25" s="246">
        <f>1911789.34-57800</f>
        <v>1853989.34</v>
      </c>
      <c r="F25" s="252">
        <f t="shared" si="0"/>
        <v>1911789.34</v>
      </c>
      <c r="K25" s="246">
        <f>290200+61070+578185.5+179630+720977.52+199014.15+15800+345985.81+866800</f>
        <v>3257662.98</v>
      </c>
    </row>
    <row r="26" spans="1:11">
      <c r="A26" t="s">
        <v>259</v>
      </c>
      <c r="E26" s="246">
        <v>602052.51</v>
      </c>
      <c r="F26" s="252">
        <f t="shared" si="0"/>
        <v>602052.51</v>
      </c>
    </row>
    <row r="27" spans="1:11">
      <c r="A27" t="s">
        <v>260</v>
      </c>
      <c r="E27" s="246">
        <v>619132.39</v>
      </c>
      <c r="F27" s="252">
        <f t="shared" si="0"/>
        <v>619132.39</v>
      </c>
    </row>
    <row r="28" spans="1:11">
      <c r="A28" t="s">
        <v>261</v>
      </c>
      <c r="E28" s="246">
        <v>880686.32</v>
      </c>
      <c r="F28" s="252">
        <f t="shared" si="0"/>
        <v>880686.32</v>
      </c>
    </row>
    <row r="29" spans="1:11">
      <c r="A29" t="s">
        <v>262</v>
      </c>
      <c r="E29" s="246">
        <v>1396988.61</v>
      </c>
      <c r="F29" s="253">
        <f t="shared" si="0"/>
        <v>1396988.61</v>
      </c>
    </row>
    <row r="31" spans="1:11">
      <c r="F31" s="257">
        <f>SUM(F21:F30)</f>
        <v>16172080.819999998</v>
      </c>
    </row>
    <row r="32" spans="1:11">
      <c r="A32" t="s">
        <v>268</v>
      </c>
      <c r="C32" s="280">
        <v>82300</v>
      </c>
      <c r="E32" s="246">
        <v>1082838.3799999999</v>
      </c>
      <c r="F32" s="260">
        <f t="shared" ref="F32:F34" si="1">C32+E32</f>
        <v>1165138.3799999999</v>
      </c>
    </row>
    <row r="33" spans="1:8">
      <c r="A33" t="s">
        <v>270</v>
      </c>
      <c r="C33" s="246">
        <v>37200</v>
      </c>
      <c r="E33" s="246">
        <v>1815942.99</v>
      </c>
      <c r="F33" s="260">
        <f t="shared" si="1"/>
        <v>1853142.99</v>
      </c>
      <c r="H33" s="252">
        <f>SUM(F31:F33)</f>
        <v>19190362.189999998</v>
      </c>
    </row>
    <row r="34" spans="1:8">
      <c r="A34" s="270" t="s">
        <v>280</v>
      </c>
      <c r="E34" s="246">
        <f>3257662.98+3189184.35</f>
        <v>6446847.3300000001</v>
      </c>
      <c r="F34" s="260">
        <f t="shared" si="1"/>
        <v>6446847.3300000001</v>
      </c>
    </row>
    <row r="35" spans="1:8">
      <c r="C35" s="261">
        <f>SUM(C21:C34)</f>
        <v>6851596.75</v>
      </c>
      <c r="D35" s="261"/>
      <c r="E35" s="261">
        <f t="shared" ref="E35" si="2">SUM(E31:E34)</f>
        <v>9345628.6999999993</v>
      </c>
      <c r="F35" s="261">
        <f>SUM(F31:F34)</f>
        <v>25637209.519999996</v>
      </c>
    </row>
    <row r="37" spans="1:8">
      <c r="A37" s="270" t="s">
        <v>285</v>
      </c>
      <c r="C37" s="288">
        <v>865012</v>
      </c>
    </row>
    <row r="38" spans="1:8">
      <c r="C38" s="246">
        <f>SUM(C35:C37)</f>
        <v>7716608.75</v>
      </c>
    </row>
  </sheetData>
  <pageMargins left="0.7" right="0.7" top="0.75" bottom="0.75" header="0.3" footer="0.3"/>
  <pageSetup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N99"/>
  <sheetViews>
    <sheetView topLeftCell="A34" workbookViewId="0">
      <selection activeCell="G55" sqref="G55"/>
    </sheetView>
  </sheetViews>
  <sheetFormatPr defaultRowHeight="12.75"/>
  <cols>
    <col min="1" max="1" width="6" style="46" customWidth="1"/>
    <col min="2" max="3" width="9.140625" style="46"/>
    <col min="4" max="4" width="16.5703125" style="46" customWidth="1"/>
    <col min="5" max="6" width="13.85546875" style="46" customWidth="1"/>
    <col min="7" max="7" width="10" style="46" customWidth="1"/>
    <col min="8" max="8" width="11.5703125" style="46" customWidth="1"/>
    <col min="9" max="9" width="11.42578125" style="46" customWidth="1"/>
    <col min="10" max="10" width="13.28515625" style="109" customWidth="1"/>
    <col min="11" max="11" width="15.7109375" style="46" customWidth="1"/>
    <col min="12" max="12" width="16.85546875" style="109" customWidth="1"/>
    <col min="13" max="13" width="17" style="109" customWidth="1"/>
    <col min="14" max="14" width="17" style="46" customWidth="1"/>
    <col min="15" max="16384" width="9.140625" style="46"/>
  </cols>
  <sheetData>
    <row r="1" spans="1:13">
      <c r="A1" s="47"/>
      <c r="B1" s="48"/>
      <c r="C1" s="48"/>
      <c r="D1" s="48"/>
      <c r="E1" s="48"/>
      <c r="F1" s="48"/>
      <c r="G1" s="48"/>
      <c r="H1" s="48"/>
      <c r="I1" s="48"/>
      <c r="J1" s="169" t="s">
        <v>81</v>
      </c>
    </row>
    <row r="2" spans="1:13">
      <c r="A2" s="389" t="s">
        <v>80</v>
      </c>
      <c r="B2" s="390"/>
      <c r="C2" s="390"/>
      <c r="D2" s="390"/>
      <c r="E2" s="390"/>
      <c r="F2" s="390"/>
      <c r="G2" s="390"/>
      <c r="H2" s="390"/>
      <c r="I2" s="390"/>
      <c r="J2" s="391"/>
    </row>
    <row r="3" spans="1:13">
      <c r="A3" s="389" t="s">
        <v>337</v>
      </c>
      <c r="B3" s="390"/>
      <c r="C3" s="390"/>
      <c r="D3" s="390"/>
      <c r="E3" s="390"/>
      <c r="F3" s="390"/>
      <c r="G3" s="390"/>
      <c r="H3" s="390"/>
      <c r="I3" s="390"/>
      <c r="J3" s="391"/>
    </row>
    <row r="4" spans="1:13">
      <c r="A4" s="389"/>
      <c r="B4" s="390"/>
      <c r="C4" s="390"/>
      <c r="D4" s="390"/>
      <c r="E4" s="390"/>
      <c r="F4" s="390"/>
      <c r="G4" s="390"/>
      <c r="H4" s="390"/>
      <c r="I4" s="390"/>
      <c r="J4" s="391"/>
    </row>
    <row r="5" spans="1:13">
      <c r="A5" s="54" t="s">
        <v>77</v>
      </c>
      <c r="B5" s="375"/>
      <c r="C5" s="375"/>
      <c r="D5" s="375"/>
      <c r="E5" s="375"/>
      <c r="F5" s="375"/>
      <c r="G5" s="375"/>
      <c r="H5" s="375"/>
      <c r="I5" s="375"/>
      <c r="J5" s="170"/>
    </row>
    <row r="6" spans="1:13">
      <c r="A6" s="54" t="s">
        <v>76</v>
      </c>
      <c r="B6" s="55"/>
      <c r="C6" s="55"/>
      <c r="D6" s="55"/>
      <c r="E6" s="55"/>
      <c r="F6" s="55"/>
      <c r="G6" s="55"/>
      <c r="H6" s="55" t="s">
        <v>278</v>
      </c>
      <c r="I6" s="55"/>
      <c r="J6" s="171"/>
      <c r="K6" s="46" t="s">
        <v>210</v>
      </c>
    </row>
    <row r="7" spans="1:13">
      <c r="A7" s="47"/>
      <c r="B7" s="48"/>
      <c r="C7" s="48"/>
      <c r="D7" s="49"/>
      <c r="E7" s="88" t="s">
        <v>8</v>
      </c>
      <c r="F7" s="50"/>
      <c r="G7" s="52"/>
      <c r="H7" s="52"/>
      <c r="I7" s="53"/>
      <c r="J7" s="110"/>
    </row>
    <row r="8" spans="1:13">
      <c r="A8" s="54"/>
      <c r="B8" s="55"/>
      <c r="C8" s="55"/>
      <c r="D8" s="56"/>
      <c r="E8" s="374" t="s">
        <v>9</v>
      </c>
      <c r="F8" s="53"/>
      <c r="G8" s="59"/>
      <c r="H8" s="59"/>
      <c r="I8" s="58"/>
      <c r="J8" s="111"/>
    </row>
    <row r="9" spans="1:13">
      <c r="A9" s="61" t="s">
        <v>68</v>
      </c>
      <c r="B9" s="55"/>
      <c r="C9" s="55"/>
      <c r="D9" s="56"/>
      <c r="E9" s="374" t="s">
        <v>10</v>
      </c>
      <c r="F9" s="60" t="s">
        <v>12</v>
      </c>
      <c r="G9" s="60" t="s">
        <v>14</v>
      </c>
      <c r="H9" s="60" t="s">
        <v>20</v>
      </c>
      <c r="I9" s="60" t="s">
        <v>22</v>
      </c>
      <c r="J9" s="112" t="s">
        <v>24</v>
      </c>
    </row>
    <row r="10" spans="1:13">
      <c r="A10" s="54"/>
      <c r="B10" s="55"/>
      <c r="C10" s="55"/>
      <c r="D10" s="56"/>
      <c r="E10" s="374" t="s">
        <v>11</v>
      </c>
      <c r="F10" s="60" t="s">
        <v>13</v>
      </c>
      <c r="G10" s="59"/>
      <c r="H10" s="60" t="s">
        <v>21</v>
      </c>
      <c r="I10" s="60" t="s">
        <v>23</v>
      </c>
      <c r="J10" s="111"/>
    </row>
    <row r="11" spans="1:13">
      <c r="A11" s="62"/>
      <c r="B11" s="63"/>
      <c r="C11" s="63"/>
      <c r="D11" s="64"/>
      <c r="E11" s="65">
        <v>0.3</v>
      </c>
      <c r="F11" s="66">
        <v>0.7</v>
      </c>
      <c r="G11" s="59"/>
      <c r="H11" s="67"/>
      <c r="I11" s="68"/>
      <c r="J11" s="113"/>
    </row>
    <row r="12" spans="1:13" ht="18" customHeight="1">
      <c r="A12" s="70" t="s">
        <v>0</v>
      </c>
      <c r="B12" s="71"/>
      <c r="C12" s="71"/>
      <c r="D12" s="72"/>
      <c r="E12" s="51"/>
      <c r="F12" s="51"/>
      <c r="G12" s="51"/>
      <c r="H12" s="51"/>
      <c r="I12" s="51"/>
      <c r="J12" s="110"/>
      <c r="L12" s="373" t="s">
        <v>90</v>
      </c>
      <c r="M12" s="373" t="s">
        <v>89</v>
      </c>
    </row>
    <row r="13" spans="1:13" ht="18" customHeight="1">
      <c r="A13" s="73" t="s">
        <v>1</v>
      </c>
      <c r="B13" s="72"/>
      <c r="C13" s="72"/>
      <c r="D13" s="72"/>
      <c r="E13" s="94">
        <f>M19*0.3</f>
        <v>846701.51670000015</v>
      </c>
      <c r="F13" s="94">
        <f>M19*0.7</f>
        <v>1975636.8723000002</v>
      </c>
      <c r="G13" s="94"/>
      <c r="H13" s="94"/>
      <c r="I13" s="94"/>
      <c r="J13" s="294">
        <f>SUM(E13:I13)</f>
        <v>2822338.3890000004</v>
      </c>
      <c r="K13" s="175"/>
      <c r="L13" s="109">
        <v>21367644.399999999</v>
      </c>
      <c r="M13" s="109">
        <v>4171566.4</v>
      </c>
    </row>
    <row r="14" spans="1:13" ht="18" customHeight="1">
      <c r="A14" s="73" t="s">
        <v>2</v>
      </c>
      <c r="B14" s="72"/>
      <c r="C14" s="72"/>
      <c r="D14" s="72"/>
      <c r="E14" s="102"/>
      <c r="F14" s="102"/>
      <c r="G14" s="102"/>
      <c r="H14" s="102"/>
      <c r="I14" s="102"/>
      <c r="J14" s="380"/>
      <c r="K14" s="117" t="s">
        <v>88</v>
      </c>
      <c r="L14" s="109">
        <v>9400000</v>
      </c>
      <c r="M14" s="109">
        <v>5637398.9699999997</v>
      </c>
    </row>
    <row r="15" spans="1:13" ht="18" customHeight="1">
      <c r="A15" s="75" t="s">
        <v>3</v>
      </c>
      <c r="B15" s="48"/>
      <c r="C15" s="48"/>
      <c r="D15" s="48"/>
      <c r="E15" s="102"/>
      <c r="F15" s="102"/>
      <c r="G15" s="102"/>
      <c r="H15" s="102"/>
      <c r="I15" s="102"/>
      <c r="J15" s="110"/>
      <c r="L15" s="116">
        <f>SUM(L13:L14)</f>
        <v>30767644.399999999</v>
      </c>
      <c r="M15" s="116">
        <f>SUM(M13:M14)</f>
        <v>9808965.3699999992</v>
      </c>
    </row>
    <row r="16" spans="1:13" ht="18" customHeight="1">
      <c r="A16" s="76" t="s">
        <v>78</v>
      </c>
      <c r="B16" s="55"/>
      <c r="C16" s="55"/>
      <c r="D16" s="55"/>
      <c r="E16" s="103"/>
      <c r="F16" s="103"/>
      <c r="G16" s="103"/>
      <c r="H16" s="103"/>
      <c r="I16" s="103"/>
      <c r="J16" s="379"/>
      <c r="K16" s="46">
        <v>11930281.960000001</v>
      </c>
    </row>
    <row r="17" spans="1:14" ht="18" customHeight="1">
      <c r="A17" s="77" t="s">
        <v>79</v>
      </c>
      <c r="B17" s="72"/>
      <c r="C17" s="72"/>
      <c r="D17" s="72"/>
      <c r="E17" s="94"/>
      <c r="F17" s="94"/>
      <c r="G17" s="94"/>
      <c r="H17" s="94"/>
      <c r="I17" s="94"/>
      <c r="J17" s="113">
        <f>SUM(E17:I17)</f>
        <v>0</v>
      </c>
      <c r="K17" s="173">
        <f>K16-J16</f>
        <v>11930281.960000001</v>
      </c>
      <c r="M17" s="109">
        <v>25936573.030000001</v>
      </c>
    </row>
    <row r="18" spans="1:14" ht="18" customHeight="1">
      <c r="A18" s="70" t="s">
        <v>7</v>
      </c>
      <c r="B18" s="72"/>
      <c r="C18" s="72"/>
      <c r="D18" s="72"/>
      <c r="E18" s="119">
        <f>SUM(E13:E17)</f>
        <v>846701.51670000015</v>
      </c>
      <c r="F18" s="119">
        <f t="shared" ref="F18:J18" si="0">SUM(F13:F17)</f>
        <v>1975636.8723000002</v>
      </c>
      <c r="G18" s="119">
        <f t="shared" si="0"/>
        <v>0</v>
      </c>
      <c r="H18" s="119">
        <f t="shared" si="0"/>
        <v>0</v>
      </c>
      <c r="I18" s="119">
        <f t="shared" si="0"/>
        <v>0</v>
      </c>
      <c r="J18" s="305">
        <f t="shared" si="0"/>
        <v>2822338.3890000004</v>
      </c>
      <c r="K18" s="166">
        <f t="shared" ref="K18:K45" si="1">SUM(E18:I18)</f>
        <v>2822338.3890000004</v>
      </c>
      <c r="L18" s="193" t="s">
        <v>171</v>
      </c>
      <c r="M18" s="192">
        <f>248859056.6-192412288.82</f>
        <v>56446767.780000001</v>
      </c>
    </row>
    <row r="19" spans="1:14" s="109" customFormat="1" ht="18" customHeight="1">
      <c r="A19" s="74" t="s">
        <v>99</v>
      </c>
      <c r="B19" s="72" t="s">
        <v>100</v>
      </c>
      <c r="C19" s="72"/>
      <c r="D19" s="72"/>
      <c r="E19" s="292">
        <f>'DRRM Funds -Jan''17'!E46</f>
        <v>34580282.4723</v>
      </c>
      <c r="F19" s="292">
        <f>'DRRM Funds -Jan''17'!F46</f>
        <v>30849272.758699998</v>
      </c>
      <c r="G19" s="292">
        <f>'DRRM Funds -Jan''17'!G46</f>
        <v>0</v>
      </c>
      <c r="H19" s="292">
        <f>'DRRM Funds -Jan''17'!H46</f>
        <v>0</v>
      </c>
      <c r="I19" s="292">
        <f>'DRRM Funds -Jan''17'!I46</f>
        <v>0</v>
      </c>
      <c r="J19" s="292">
        <f>'DRRM Funds -Jan''17'!J46</f>
        <v>65429555.230999999</v>
      </c>
      <c r="K19" s="166">
        <f t="shared" si="1"/>
        <v>65429555.230999999</v>
      </c>
      <c r="L19" s="194">
        <v>0.05</v>
      </c>
      <c r="M19" s="269">
        <f>M18*0.05</f>
        <v>2822338.3890000004</v>
      </c>
    </row>
    <row r="20" spans="1:14" s="109" customFormat="1" ht="18" customHeight="1">
      <c r="A20" s="70" t="s">
        <v>101</v>
      </c>
      <c r="B20" s="122"/>
      <c r="C20" s="72"/>
      <c r="D20" s="72"/>
      <c r="E20" s="386">
        <f>SUM(E18:E19)</f>
        <v>35426983.989</v>
      </c>
      <c r="F20" s="386">
        <f t="shared" ref="F20:J20" si="2">SUM(F18:F19)</f>
        <v>32824909.630999997</v>
      </c>
      <c r="G20" s="386">
        <f t="shared" si="2"/>
        <v>0</v>
      </c>
      <c r="H20" s="386">
        <f t="shared" si="2"/>
        <v>0</v>
      </c>
      <c r="I20" s="386">
        <f t="shared" si="2"/>
        <v>0</v>
      </c>
      <c r="J20" s="386">
        <f t="shared" si="2"/>
        <v>68251893.620000005</v>
      </c>
      <c r="K20" s="166">
        <f t="shared" si="1"/>
        <v>68251893.620000005</v>
      </c>
    </row>
    <row r="21" spans="1:14" ht="18" customHeight="1">
      <c r="A21" s="70" t="s">
        <v>15</v>
      </c>
      <c r="B21" s="72"/>
      <c r="C21" s="72"/>
      <c r="D21" s="72"/>
      <c r="E21" s="94"/>
      <c r="F21" s="94"/>
      <c r="G21" s="94"/>
      <c r="H21" s="94"/>
      <c r="I21" s="94"/>
      <c r="J21" s="114"/>
      <c r="K21" s="166">
        <f t="shared" si="1"/>
        <v>0</v>
      </c>
      <c r="M21" s="109">
        <v>26972032.48</v>
      </c>
    </row>
    <row r="22" spans="1:14" ht="18" customHeight="1">
      <c r="A22" s="77" t="s">
        <v>206</v>
      </c>
      <c r="B22" s="263"/>
      <c r="C22" s="263"/>
      <c r="D22" s="263"/>
      <c r="E22" s="94"/>
      <c r="F22" s="94"/>
      <c r="G22" s="94"/>
      <c r="H22" s="94"/>
      <c r="I22" s="94"/>
      <c r="J22" s="114">
        <f>SUM(E22:I22)</f>
        <v>0</v>
      </c>
      <c r="K22" s="166"/>
    </row>
    <row r="23" spans="1:14" ht="18" customHeight="1">
      <c r="A23" s="77" t="s">
        <v>251</v>
      </c>
      <c r="B23" s="263"/>
      <c r="C23" s="263"/>
      <c r="D23" s="263"/>
      <c r="E23" s="94"/>
      <c r="F23" s="94"/>
      <c r="G23" s="94"/>
      <c r="H23" s="94"/>
      <c r="I23" s="94"/>
      <c r="J23" s="114">
        <f t="shared" ref="J23:J42" si="3">SUM(E23:I23)</f>
        <v>0</v>
      </c>
      <c r="K23" s="166">
        <f t="shared" si="1"/>
        <v>0</v>
      </c>
      <c r="L23" s="176">
        <f>518731460.56*0.05</f>
        <v>25936573.028000001</v>
      </c>
      <c r="M23" s="109">
        <v>125607.13</v>
      </c>
    </row>
    <row r="24" spans="1:14" ht="18" customHeight="1">
      <c r="A24" s="290" t="s">
        <v>229</v>
      </c>
      <c r="B24" s="291"/>
      <c r="C24" s="291"/>
      <c r="D24" s="291"/>
      <c r="E24" s="292"/>
      <c r="F24" s="292"/>
      <c r="G24" s="292"/>
      <c r="H24" s="292"/>
      <c r="I24" s="292"/>
      <c r="J24" s="114">
        <f t="shared" si="3"/>
        <v>0</v>
      </c>
      <c r="K24" s="166"/>
      <c r="L24" s="228"/>
    </row>
    <row r="25" spans="1:14" ht="18" customHeight="1">
      <c r="A25" s="290" t="s">
        <v>252</v>
      </c>
      <c r="B25" s="291"/>
      <c r="C25" s="291"/>
      <c r="D25" s="291"/>
      <c r="E25" s="292"/>
      <c r="F25" s="292">
        <v>76233.679999999993</v>
      </c>
      <c r="G25" s="292"/>
      <c r="H25" s="292"/>
      <c r="I25" s="292"/>
      <c r="J25" s="114">
        <f t="shared" si="3"/>
        <v>76233.679999999993</v>
      </c>
      <c r="K25" s="166">
        <f t="shared" si="1"/>
        <v>76233.679999999993</v>
      </c>
      <c r="M25" s="232" t="s">
        <v>335</v>
      </c>
    </row>
    <row r="26" spans="1:14" ht="18" customHeight="1">
      <c r="A26" s="290" t="s">
        <v>276</v>
      </c>
      <c r="B26" s="291"/>
      <c r="C26" s="291"/>
      <c r="D26" s="291"/>
      <c r="E26" s="292"/>
      <c r="F26" s="292">
        <v>546803.19999999995</v>
      </c>
      <c r="G26" s="292"/>
      <c r="H26" s="292"/>
      <c r="I26" s="292"/>
      <c r="J26" s="294">
        <f t="shared" si="3"/>
        <v>546803.19999999995</v>
      </c>
      <c r="K26" s="166">
        <f t="shared" si="1"/>
        <v>546803.19999999995</v>
      </c>
      <c r="M26" s="229">
        <v>375607.13</v>
      </c>
      <c r="N26" s="46" t="s">
        <v>230</v>
      </c>
    </row>
    <row r="27" spans="1:14" ht="18" customHeight="1">
      <c r="A27" s="293" t="s">
        <v>275</v>
      </c>
      <c r="B27" s="291"/>
      <c r="C27" s="291"/>
      <c r="D27" s="291"/>
      <c r="E27" s="292"/>
      <c r="F27" s="292"/>
      <c r="G27" s="292"/>
      <c r="H27" s="292"/>
      <c r="I27" s="292"/>
      <c r="J27" s="114">
        <f t="shared" si="3"/>
        <v>0</v>
      </c>
      <c r="K27" s="166">
        <f t="shared" si="1"/>
        <v>0</v>
      </c>
      <c r="M27" s="229">
        <v>820000</v>
      </c>
      <c r="N27" s="46" t="s">
        <v>232</v>
      </c>
    </row>
    <row r="28" spans="1:14" ht="18" customHeight="1">
      <c r="A28" s="290" t="s">
        <v>274</v>
      </c>
      <c r="B28" s="291"/>
      <c r="C28" s="291"/>
      <c r="D28" s="291"/>
      <c r="E28" s="292"/>
      <c r="F28" s="292"/>
      <c r="G28" s="292"/>
      <c r="H28" s="292"/>
      <c r="I28" s="292"/>
      <c r="J28" s="114">
        <f t="shared" si="3"/>
        <v>0</v>
      </c>
      <c r="K28" s="166">
        <f t="shared" si="1"/>
        <v>0</v>
      </c>
      <c r="M28" s="229">
        <v>1470000</v>
      </c>
      <c r="N28" s="46" t="s">
        <v>233</v>
      </c>
    </row>
    <row r="29" spans="1:14" ht="18" customHeight="1">
      <c r="A29" s="290" t="s">
        <v>227</v>
      </c>
      <c r="B29" s="291"/>
      <c r="C29" s="291"/>
      <c r="D29" s="291"/>
      <c r="E29" s="292"/>
      <c r="F29" s="292"/>
      <c r="G29" s="292"/>
      <c r="H29" s="292"/>
      <c r="I29" s="292"/>
      <c r="J29" s="114">
        <f t="shared" si="3"/>
        <v>0</v>
      </c>
      <c r="K29" s="166">
        <f t="shared" si="1"/>
        <v>0</v>
      </c>
      <c r="L29" s="376"/>
      <c r="M29" s="229">
        <v>3821228.76</v>
      </c>
      <c r="N29" s="46" t="s">
        <v>231</v>
      </c>
    </row>
    <row r="30" spans="1:14" ht="18" customHeight="1">
      <c r="A30" s="290" t="s">
        <v>273</v>
      </c>
      <c r="B30" s="291"/>
      <c r="C30" s="291"/>
      <c r="D30" s="291"/>
      <c r="E30" s="292"/>
      <c r="F30" s="292"/>
      <c r="G30" s="292"/>
      <c r="H30" s="292"/>
      <c r="I30" s="292"/>
      <c r="J30" s="114">
        <f t="shared" si="3"/>
        <v>0</v>
      </c>
      <c r="K30" s="166"/>
      <c r="L30" s="376"/>
      <c r="M30" s="229">
        <v>6109630</v>
      </c>
      <c r="N30" s="46" t="s">
        <v>234</v>
      </c>
    </row>
    <row r="31" spans="1:14" ht="18" customHeight="1">
      <c r="A31" s="290" t="s">
        <v>213</v>
      </c>
      <c r="B31" s="291"/>
      <c r="C31" s="291"/>
      <c r="D31" s="291"/>
      <c r="E31" s="292"/>
      <c r="F31" s="292"/>
      <c r="G31" s="292"/>
      <c r="H31" s="292"/>
      <c r="I31" s="292"/>
      <c r="J31" s="114">
        <f t="shared" si="3"/>
        <v>0</v>
      </c>
      <c r="K31" s="166"/>
      <c r="L31" s="376"/>
      <c r="M31" s="377">
        <v>3363100</v>
      </c>
      <c r="N31" s="46" t="s">
        <v>235</v>
      </c>
    </row>
    <row r="32" spans="1:14" ht="18" customHeight="1">
      <c r="A32" s="290" t="s">
        <v>250</v>
      </c>
      <c r="B32" s="291"/>
      <c r="C32" s="291"/>
      <c r="D32" s="291"/>
      <c r="E32" s="292"/>
      <c r="F32" s="292"/>
      <c r="G32" s="292"/>
      <c r="H32" s="292"/>
      <c r="I32" s="292"/>
      <c r="J32" s="114">
        <f t="shared" si="3"/>
        <v>0</v>
      </c>
      <c r="K32" s="166"/>
      <c r="L32" s="376"/>
      <c r="M32" s="230">
        <v>45000</v>
      </c>
      <c r="N32" s="46" t="s">
        <v>336</v>
      </c>
    </row>
    <row r="33" spans="1:13" ht="18" customHeight="1">
      <c r="A33" s="290" t="s">
        <v>214</v>
      </c>
      <c r="B33" s="291"/>
      <c r="C33" s="291"/>
      <c r="D33" s="291"/>
      <c r="E33" s="292"/>
      <c r="F33" s="292"/>
      <c r="G33" s="292"/>
      <c r="H33" s="292"/>
      <c r="I33" s="292"/>
      <c r="J33" s="114">
        <f t="shared" si="3"/>
        <v>0</v>
      </c>
      <c r="K33" s="227"/>
      <c r="L33" s="376"/>
      <c r="M33" s="289">
        <f>SUM(M26:M32)</f>
        <v>16004565.890000001</v>
      </c>
    </row>
    <row r="34" spans="1:13" ht="18" customHeight="1">
      <c r="A34" s="290" t="s">
        <v>249</v>
      </c>
      <c r="B34" s="291"/>
      <c r="C34" s="291"/>
      <c r="D34" s="291"/>
      <c r="E34" s="292"/>
      <c r="F34" s="292"/>
      <c r="G34" s="292"/>
      <c r="H34" s="292"/>
      <c r="I34" s="292"/>
      <c r="J34" s="114">
        <f t="shared" si="3"/>
        <v>0</v>
      </c>
      <c r="K34" s="265"/>
      <c r="L34" s="376"/>
    </row>
    <row r="35" spans="1:13" ht="18" customHeight="1">
      <c r="A35" s="290" t="s">
        <v>222</v>
      </c>
      <c r="B35" s="291"/>
      <c r="C35" s="291"/>
      <c r="D35" s="291"/>
      <c r="E35" s="292"/>
      <c r="F35" s="292"/>
      <c r="G35" s="292"/>
      <c r="H35" s="292"/>
      <c r="I35" s="292"/>
      <c r="J35" s="114">
        <f t="shared" si="3"/>
        <v>0</v>
      </c>
      <c r="K35" s="266">
        <f t="shared" si="1"/>
        <v>0</v>
      </c>
      <c r="L35" s="109">
        <f>SUM(F29:F35)</f>
        <v>0</v>
      </c>
    </row>
    <row r="36" spans="1:13" ht="18" customHeight="1">
      <c r="A36" s="290" t="s">
        <v>223</v>
      </c>
      <c r="B36" s="291"/>
      <c r="C36" s="291"/>
      <c r="D36" s="291"/>
      <c r="E36" s="292"/>
      <c r="F36" s="292"/>
      <c r="G36" s="292"/>
      <c r="H36" s="292"/>
      <c r="I36" s="292"/>
      <c r="J36" s="114">
        <f t="shared" si="3"/>
        <v>0</v>
      </c>
      <c r="K36" s="166">
        <f t="shared" si="1"/>
        <v>0</v>
      </c>
      <c r="L36" s="109">
        <v>147060</v>
      </c>
    </row>
    <row r="37" spans="1:13" ht="18" customHeight="1">
      <c r="A37" s="290" t="s">
        <v>168</v>
      </c>
      <c r="B37" s="291"/>
      <c r="C37" s="291"/>
      <c r="D37" s="291"/>
      <c r="E37" s="292"/>
      <c r="F37" s="292"/>
      <c r="G37" s="292"/>
      <c r="H37" s="292"/>
      <c r="I37" s="292"/>
      <c r="J37" s="114">
        <f t="shared" si="3"/>
        <v>0</v>
      </c>
      <c r="K37" s="166">
        <f t="shared" si="1"/>
        <v>0</v>
      </c>
    </row>
    <row r="38" spans="1:13" ht="18" customHeight="1">
      <c r="A38" s="290" t="s">
        <v>293</v>
      </c>
      <c r="B38" s="291"/>
      <c r="C38" s="291"/>
      <c r="D38" s="291"/>
      <c r="E38" s="292"/>
      <c r="F38" s="292"/>
      <c r="G38" s="292"/>
      <c r="H38" s="292"/>
      <c r="I38" s="292"/>
      <c r="J38" s="114">
        <f t="shared" si="3"/>
        <v>0</v>
      </c>
      <c r="K38" s="166">
        <f t="shared" si="1"/>
        <v>0</v>
      </c>
      <c r="L38" s="109">
        <v>1555500</v>
      </c>
    </row>
    <row r="39" spans="1:13" ht="18" customHeight="1">
      <c r="A39" s="290" t="s">
        <v>207</v>
      </c>
      <c r="B39" s="291"/>
      <c r="C39" s="291"/>
      <c r="D39" s="291"/>
      <c r="E39" s="292"/>
      <c r="F39" s="292"/>
      <c r="G39" s="292"/>
      <c r="H39" s="292"/>
      <c r="I39" s="292"/>
      <c r="J39" s="114">
        <f t="shared" si="3"/>
        <v>0</v>
      </c>
      <c r="K39" s="166"/>
    </row>
    <row r="40" spans="1:13" ht="18" customHeight="1">
      <c r="A40" s="83" t="s">
        <v>94</v>
      </c>
      <c r="B40" s="263"/>
      <c r="C40" s="263"/>
      <c r="D40" s="263"/>
      <c r="E40" s="94"/>
      <c r="F40" s="94"/>
      <c r="G40" s="94"/>
      <c r="H40" s="94"/>
      <c r="I40" s="94"/>
      <c r="J40" s="114">
        <f t="shared" si="3"/>
        <v>0</v>
      </c>
      <c r="K40" s="166">
        <f t="shared" si="1"/>
        <v>0</v>
      </c>
      <c r="L40" s="109">
        <v>177000</v>
      </c>
    </row>
    <row r="41" spans="1:13" ht="18" customHeight="1">
      <c r="A41" s="83" t="s">
        <v>95</v>
      </c>
      <c r="B41" s="263"/>
      <c r="C41" s="263"/>
      <c r="D41" s="263"/>
      <c r="E41" s="94"/>
      <c r="F41" s="94"/>
      <c r="G41" s="94"/>
      <c r="H41" s="94"/>
      <c r="I41" s="94"/>
      <c r="J41" s="114">
        <f t="shared" si="3"/>
        <v>0</v>
      </c>
      <c r="K41" s="166">
        <f t="shared" si="1"/>
        <v>0</v>
      </c>
      <c r="L41" s="109">
        <v>204055</v>
      </c>
    </row>
    <row r="42" spans="1:13" ht="18" customHeight="1">
      <c r="A42" s="77" t="s">
        <v>96</v>
      </c>
      <c r="B42" s="263"/>
      <c r="C42" s="263"/>
      <c r="D42" s="263"/>
      <c r="E42" s="94"/>
      <c r="F42" s="102"/>
      <c r="G42" s="94"/>
      <c r="H42" s="94"/>
      <c r="I42" s="94"/>
      <c r="J42" s="114">
        <f t="shared" si="3"/>
        <v>0</v>
      </c>
      <c r="K42" s="166">
        <f t="shared" si="1"/>
        <v>0</v>
      </c>
      <c r="L42" s="109">
        <v>71070</v>
      </c>
    </row>
    <row r="43" spans="1:13" ht="18" customHeight="1">
      <c r="A43" s="84" t="s">
        <v>92</v>
      </c>
      <c r="B43" s="63"/>
      <c r="C43" s="63"/>
      <c r="D43" s="63"/>
      <c r="E43" s="89">
        <f>SUM(E22:E42)</f>
        <v>0</v>
      </c>
      <c r="F43" s="303">
        <f>SUM(F22:F42)</f>
        <v>623036.87999999989</v>
      </c>
      <c r="G43" s="304">
        <f>SUM(G22:G42)</f>
        <v>0</v>
      </c>
      <c r="H43" s="94">
        <f t="shared" ref="H43:J43" si="4">SUM(H22:H42)</f>
        <v>0</v>
      </c>
      <c r="I43" s="94">
        <f t="shared" si="4"/>
        <v>0</v>
      </c>
      <c r="J43" s="292">
        <f t="shared" si="4"/>
        <v>623036.87999999989</v>
      </c>
      <c r="K43" s="166">
        <f t="shared" si="1"/>
        <v>623036.87999999989</v>
      </c>
      <c r="L43" s="109">
        <v>27800</v>
      </c>
      <c r="M43" s="46"/>
    </row>
    <row r="44" spans="1:13" ht="18" customHeight="1">
      <c r="A44" s="84" t="s">
        <v>103</v>
      </c>
      <c r="B44" s="63"/>
      <c r="C44" s="63"/>
      <c r="D44" s="63"/>
      <c r="E44" s="103">
        <f>'DRRM Funds -Jan''17'!E45</f>
        <v>0</v>
      </c>
      <c r="F44" s="103">
        <f>'DRRM Funds -Jan''17'!F45</f>
        <v>540145.61</v>
      </c>
      <c r="G44" s="103">
        <f>'DRRM Funds -Jan''17'!G45</f>
        <v>0</v>
      </c>
      <c r="H44" s="103">
        <f>'DRRM Funds -Jan''17'!H45</f>
        <v>0</v>
      </c>
      <c r="I44" s="103">
        <f>'DRRM Funds -Jan''17'!I45</f>
        <v>0</v>
      </c>
      <c r="J44" s="103">
        <f>'DRRM Funds -Jan''17'!J45</f>
        <v>540145.61</v>
      </c>
      <c r="K44" s="166">
        <f t="shared" si="1"/>
        <v>540145.61</v>
      </c>
      <c r="L44" s="109">
        <v>126865</v>
      </c>
      <c r="M44" s="109">
        <f>SUM(E44:H44)</f>
        <v>540145.61</v>
      </c>
    </row>
    <row r="45" spans="1:13" ht="18" customHeight="1">
      <c r="A45" s="84" t="s">
        <v>104</v>
      </c>
      <c r="B45" s="63"/>
      <c r="C45" s="63"/>
      <c r="D45" s="63"/>
      <c r="E45" s="385">
        <f>SUM(E43:E44)</f>
        <v>0</v>
      </c>
      <c r="F45" s="385">
        <f t="shared" ref="F45:J45" si="5">SUM(F43:F44)</f>
        <v>1163182.4899999998</v>
      </c>
      <c r="G45" s="385">
        <f t="shared" si="5"/>
        <v>0</v>
      </c>
      <c r="H45" s="385">
        <f t="shared" si="5"/>
        <v>0</v>
      </c>
      <c r="I45" s="385">
        <f t="shared" si="5"/>
        <v>0</v>
      </c>
      <c r="J45" s="385">
        <f t="shared" si="5"/>
        <v>1163182.4899999998</v>
      </c>
      <c r="K45" s="166">
        <f t="shared" si="1"/>
        <v>1163182.4899999998</v>
      </c>
      <c r="L45" s="174">
        <f>SUM(L35:L44)</f>
        <v>2309350</v>
      </c>
      <c r="M45" s="109">
        <v>10492358.970000001</v>
      </c>
    </row>
    <row r="46" spans="1:13" ht="18" customHeight="1">
      <c r="A46" s="70" t="s">
        <v>93</v>
      </c>
      <c r="B46" s="72"/>
      <c r="C46" s="72"/>
      <c r="D46" s="80"/>
      <c r="E46" s="378">
        <f t="shared" ref="E46:J46" si="6">E20-E43</f>
        <v>35426983.989</v>
      </c>
      <c r="F46" s="378">
        <f t="shared" si="6"/>
        <v>32201872.750999998</v>
      </c>
      <c r="G46" s="378">
        <f>G20-G43</f>
        <v>0</v>
      </c>
      <c r="H46" s="378">
        <f t="shared" si="6"/>
        <v>0</v>
      </c>
      <c r="I46" s="378">
        <f t="shared" si="6"/>
        <v>0</v>
      </c>
      <c r="J46" s="378">
        <f t="shared" si="6"/>
        <v>67628856.74000001</v>
      </c>
      <c r="K46" s="166">
        <f>SUM(E46:I46)</f>
        <v>67628856.739999995</v>
      </c>
      <c r="L46" s="46"/>
      <c r="M46" s="109">
        <f>M45-L45</f>
        <v>8183008.9700000007</v>
      </c>
    </row>
    <row r="47" spans="1:13" ht="18" customHeight="1">
      <c r="A47" s="55"/>
      <c r="B47" s="55"/>
      <c r="C47" s="55"/>
      <c r="D47" s="55"/>
      <c r="E47" s="55"/>
      <c r="F47" s="55"/>
      <c r="G47" s="55"/>
      <c r="H47" s="55"/>
      <c r="I47" s="55"/>
      <c r="J47" s="115" t="s">
        <v>74</v>
      </c>
      <c r="K47" s="92">
        <f>SUM(E46:F46)</f>
        <v>67628856.739999995</v>
      </c>
      <c r="M47" s="109">
        <v>0</v>
      </c>
    </row>
    <row r="48" spans="1:13">
      <c r="A48" s="55" t="s">
        <v>83</v>
      </c>
      <c r="B48" s="55"/>
      <c r="C48" s="55"/>
      <c r="D48" s="55"/>
      <c r="E48" s="55"/>
      <c r="F48" s="55"/>
      <c r="G48" s="55"/>
      <c r="H48" s="55" t="s">
        <v>29</v>
      </c>
      <c r="I48" s="55"/>
      <c r="J48" s="115"/>
      <c r="K48" s="55"/>
      <c r="L48" s="109">
        <v>752760</v>
      </c>
    </row>
    <row r="49" spans="1:13">
      <c r="A49" s="55"/>
      <c r="B49" s="55"/>
      <c r="C49" s="55"/>
      <c r="D49" s="55"/>
      <c r="E49" s="55"/>
      <c r="F49" s="55"/>
      <c r="G49" s="55"/>
      <c r="H49" s="55"/>
      <c r="I49" s="55"/>
      <c r="J49" s="115"/>
      <c r="K49" s="55"/>
      <c r="L49" s="109">
        <v>902075</v>
      </c>
    </row>
    <row r="50" spans="1:13">
      <c r="A50" s="82" t="s">
        <v>202</v>
      </c>
      <c r="B50" s="55"/>
      <c r="C50" s="55"/>
      <c r="D50" s="55"/>
      <c r="E50" s="55"/>
      <c r="F50" s="55"/>
      <c r="G50" s="55"/>
      <c r="J50" s="115"/>
      <c r="K50" s="55"/>
      <c r="L50" s="109">
        <v>504234.65</v>
      </c>
      <c r="M50" s="109">
        <v>8736531.7100000009</v>
      </c>
    </row>
    <row r="51" spans="1:13">
      <c r="A51" s="140" t="s">
        <v>287</v>
      </c>
      <c r="B51" s="55"/>
      <c r="C51" s="55"/>
      <c r="D51" s="55"/>
      <c r="E51" s="121" t="s">
        <v>237</v>
      </c>
      <c r="F51" s="55"/>
      <c r="G51" s="55"/>
      <c r="H51" s="241" t="s">
        <v>72</v>
      </c>
      <c r="I51" s="55"/>
      <c r="J51" s="115"/>
      <c r="K51" s="55"/>
      <c r="L51" s="109">
        <v>899145</v>
      </c>
      <c r="M51" s="109">
        <v>10140</v>
      </c>
    </row>
    <row r="52" spans="1:13">
      <c r="A52" s="55"/>
      <c r="B52" s="55"/>
      <c r="C52" s="55"/>
      <c r="D52" s="55"/>
      <c r="G52" s="55"/>
      <c r="H52" s="140" t="s">
        <v>85</v>
      </c>
      <c r="I52" s="55"/>
      <c r="J52" s="115"/>
      <c r="K52" s="55"/>
      <c r="L52" s="109">
        <v>1087927.3999999999</v>
      </c>
      <c r="M52" s="109">
        <f>SUM(M50:M51)</f>
        <v>8746671.7100000009</v>
      </c>
    </row>
    <row r="53" spans="1:13">
      <c r="A53" s="55"/>
      <c r="B53" s="55"/>
      <c r="C53" s="55"/>
      <c r="D53" s="55"/>
      <c r="E53" s="115"/>
      <c r="F53" s="55"/>
      <c r="G53" s="55"/>
      <c r="H53" s="55"/>
      <c r="I53" s="115"/>
      <c r="J53" s="115"/>
      <c r="K53" s="55"/>
      <c r="L53" s="109">
        <v>2896515.5</v>
      </c>
    </row>
    <row r="54" spans="1:13">
      <c r="A54" s="55"/>
      <c r="B54" s="55"/>
      <c r="C54" s="55"/>
      <c r="D54" s="55"/>
      <c r="E54" s="82" t="s">
        <v>298</v>
      </c>
      <c r="F54" s="55"/>
      <c r="G54" s="55"/>
      <c r="H54" s="55"/>
      <c r="I54" s="115"/>
      <c r="J54" s="115"/>
      <c r="K54" s="55"/>
    </row>
    <row r="55" spans="1:13">
      <c r="A55" s="55"/>
      <c r="B55" s="55"/>
      <c r="C55" s="55"/>
      <c r="D55" s="55"/>
      <c r="E55" s="55" t="s">
        <v>299</v>
      </c>
      <c r="F55" s="55"/>
      <c r="G55" s="55"/>
      <c r="H55" s="55"/>
      <c r="I55" s="115"/>
      <c r="J55" s="115"/>
      <c r="K55" s="55"/>
      <c r="L55" s="109">
        <v>120000</v>
      </c>
    </row>
    <row r="56" spans="1:13">
      <c r="I56" s="109"/>
      <c r="M56" s="46"/>
    </row>
    <row r="57" spans="1:13">
      <c r="F57" s="121"/>
      <c r="I57" s="109"/>
      <c r="K57" s="55"/>
      <c r="L57" s="115">
        <v>630000</v>
      </c>
      <c r="M57" s="183">
        <v>10644424.82</v>
      </c>
    </row>
    <row r="58" spans="1:13">
      <c r="B58" s="276" t="s">
        <v>236</v>
      </c>
      <c r="F58" s="115"/>
      <c r="I58" s="109"/>
      <c r="J58" s="109">
        <v>7850000</v>
      </c>
      <c r="L58" s="109">
        <v>1000000</v>
      </c>
      <c r="M58" s="183">
        <v>13157941.960000001</v>
      </c>
    </row>
    <row r="59" spans="1:13">
      <c r="I59" s="109"/>
      <c r="J59" s="109">
        <v>800000</v>
      </c>
      <c r="L59" s="109">
        <v>1300000</v>
      </c>
      <c r="M59" s="184">
        <v>0</v>
      </c>
    </row>
    <row r="60" spans="1:13">
      <c r="A60" s="46" t="s">
        <v>282</v>
      </c>
      <c r="B60" s="392">
        <f>1493800+99900</f>
        <v>1593700</v>
      </c>
      <c r="C60" s="392"/>
      <c r="I60" s="109"/>
      <c r="J60" s="109">
        <v>1200000</v>
      </c>
      <c r="L60" s="109">
        <v>2000000</v>
      </c>
      <c r="M60" s="183">
        <f>SUM(M57:M59)</f>
        <v>23802366.780000001</v>
      </c>
    </row>
    <row r="61" spans="1:13">
      <c r="A61" s="46" t="s">
        <v>281</v>
      </c>
      <c r="B61" s="392">
        <v>1400000</v>
      </c>
      <c r="C61" s="392"/>
      <c r="I61" s="109"/>
      <c r="J61" s="109">
        <v>3500000</v>
      </c>
      <c r="L61" s="109">
        <v>150000</v>
      </c>
      <c r="M61" s="183">
        <v>24092226.780000001</v>
      </c>
    </row>
    <row r="62" spans="1:13">
      <c r="A62" s="46" t="s">
        <v>258</v>
      </c>
      <c r="B62" s="393">
        <v>1975000</v>
      </c>
      <c r="C62" s="393"/>
      <c r="I62" s="109">
        <v>100000</v>
      </c>
      <c r="J62" s="116">
        <f>SUM(J58:J61)</f>
        <v>13350000</v>
      </c>
      <c r="L62" s="109">
        <v>4590281.96</v>
      </c>
      <c r="M62" s="183">
        <f>M61-M60</f>
        <v>289860</v>
      </c>
    </row>
    <row r="63" spans="1:13">
      <c r="A63" s="46" t="s">
        <v>283</v>
      </c>
      <c r="B63" s="387">
        <v>1214184.3500000001</v>
      </c>
      <c r="C63" s="387"/>
      <c r="I63" s="109">
        <v>4589687.1100000003</v>
      </c>
      <c r="J63" s="109">
        <v>16829861.079999998</v>
      </c>
      <c r="L63" s="109">
        <f>SUM(L57:L62)</f>
        <v>9670281.9600000009</v>
      </c>
      <c r="M63" s="46"/>
    </row>
    <row r="64" spans="1:13">
      <c r="B64" s="388">
        <f>SUM(B60:C63)</f>
        <v>6182884.3499999996</v>
      </c>
      <c r="C64" s="388"/>
      <c r="I64" s="116">
        <f>SUM(I58:I63)</f>
        <v>4689687.1100000003</v>
      </c>
      <c r="J64" s="109">
        <f>J62-J63</f>
        <v>-3479861.0799999982</v>
      </c>
      <c r="M64" s="109">
        <v>24416573.030000001</v>
      </c>
    </row>
    <row r="65" spans="1:13">
      <c r="I65" s="109">
        <v>7212797.6100000003</v>
      </c>
      <c r="M65" s="109">
        <v>24708913.030000001</v>
      </c>
    </row>
    <row r="66" spans="1:13">
      <c r="I66" s="109">
        <f>I64-I65</f>
        <v>-2523110.5</v>
      </c>
      <c r="M66" s="109">
        <f>M64-M65</f>
        <v>-292340</v>
      </c>
    </row>
    <row r="67" spans="1:13">
      <c r="I67" s="109"/>
      <c r="M67" s="109">
        <v>289860</v>
      </c>
    </row>
    <row r="68" spans="1:13">
      <c r="I68" s="109"/>
      <c r="J68" s="109">
        <v>25346381.800000001</v>
      </c>
      <c r="M68" s="173">
        <f>SUM(M66:M67)</f>
        <v>-2480</v>
      </c>
    </row>
    <row r="69" spans="1:13">
      <c r="I69" s="109"/>
      <c r="J69" s="109">
        <v>24042658.690000001</v>
      </c>
      <c r="M69" s="46"/>
    </row>
    <row r="70" spans="1:13">
      <c r="I70" s="109"/>
      <c r="J70" s="109">
        <f>J68-J69</f>
        <v>1303723.1099999994</v>
      </c>
      <c r="L70" s="109">
        <v>400000</v>
      </c>
      <c r="M70" s="46"/>
    </row>
    <row r="71" spans="1:13">
      <c r="I71" s="109"/>
      <c r="L71" s="109">
        <v>1000000</v>
      </c>
      <c r="M71" s="109">
        <v>25279.7</v>
      </c>
    </row>
    <row r="72" spans="1:13">
      <c r="I72" s="109"/>
      <c r="M72" s="109">
        <v>27759.7</v>
      </c>
    </row>
    <row r="73" spans="1:13">
      <c r="H73" s="109"/>
      <c r="I73" s="109"/>
      <c r="M73" s="173">
        <f>M71-M72</f>
        <v>-2480</v>
      </c>
    </row>
    <row r="74" spans="1:13">
      <c r="H74" s="109">
        <v>4455551.57</v>
      </c>
      <c r="I74" s="109"/>
      <c r="J74" s="109">
        <v>17496381.800000001</v>
      </c>
      <c r="M74" s="46"/>
    </row>
    <row r="75" spans="1:13">
      <c r="H75" s="109">
        <v>5760963.6399999997</v>
      </c>
      <c r="I75" s="109"/>
      <c r="J75" s="109">
        <v>7850000</v>
      </c>
      <c r="M75" s="46"/>
    </row>
    <row r="76" spans="1:13">
      <c r="H76" s="109">
        <f>SUM(H74:H75)</f>
        <v>10216515.210000001</v>
      </c>
      <c r="I76" s="109"/>
      <c r="J76" s="109">
        <f>SUM(J74:J75)</f>
        <v>25346381.800000001</v>
      </c>
      <c r="M76" s="46"/>
    </row>
    <row r="77" spans="1:13" s="109" customFormat="1">
      <c r="A77" s="46"/>
      <c r="B77" s="46"/>
      <c r="C77" s="46"/>
      <c r="D77" s="46"/>
      <c r="E77" s="46"/>
      <c r="F77" s="46"/>
      <c r="G77" s="46"/>
    </row>
    <row r="78" spans="1:13" s="109" customFormat="1">
      <c r="A78" s="46"/>
      <c r="B78" s="46"/>
      <c r="C78" s="46"/>
      <c r="D78" s="46"/>
      <c r="E78" s="46"/>
      <c r="F78" s="46"/>
      <c r="G78" s="46"/>
    </row>
    <row r="79" spans="1:13" s="109" customFormat="1">
      <c r="A79" s="46"/>
      <c r="B79" s="46"/>
      <c r="C79" s="46"/>
      <c r="D79" s="46"/>
      <c r="E79" s="46"/>
      <c r="F79" s="46"/>
      <c r="G79" s="46"/>
    </row>
    <row r="80" spans="1:13" s="109" customFormat="1">
      <c r="A80" s="46"/>
      <c r="B80" s="46"/>
      <c r="C80" s="46"/>
      <c r="D80" s="46"/>
      <c r="E80" s="46"/>
      <c r="F80" s="46"/>
      <c r="G80" s="46"/>
    </row>
    <row r="81" spans="1:11" s="109" customFormat="1">
      <c r="A81" s="46"/>
      <c r="B81" s="46"/>
      <c r="C81" s="46"/>
      <c r="D81" s="46"/>
      <c r="E81" s="46"/>
      <c r="F81" s="46"/>
      <c r="G81" s="46"/>
    </row>
    <row r="82" spans="1:11" s="109" customFormat="1">
      <c r="A82" s="46"/>
      <c r="B82" s="46"/>
      <c r="C82" s="46"/>
      <c r="D82" s="46"/>
      <c r="E82" s="46"/>
      <c r="F82" s="46"/>
      <c r="G82" s="46"/>
    </row>
    <row r="83" spans="1:11" s="109" customFormat="1">
      <c r="A83" s="46"/>
      <c r="B83" s="46"/>
      <c r="C83" s="46"/>
      <c r="D83" s="46"/>
      <c r="E83" s="46"/>
      <c r="F83" s="46"/>
      <c r="G83" s="46"/>
      <c r="H83" s="46"/>
    </row>
    <row r="84" spans="1:11" s="109" customFormat="1">
      <c r="A84" s="46"/>
      <c r="B84" s="46"/>
      <c r="C84" s="46"/>
      <c r="D84" s="46"/>
      <c r="E84" s="46"/>
      <c r="F84" s="46"/>
      <c r="G84" s="46"/>
      <c r="H84" s="46"/>
    </row>
    <row r="85" spans="1:11" s="109" customFormat="1">
      <c r="A85" s="46"/>
      <c r="B85" s="46"/>
      <c r="C85" s="46"/>
      <c r="D85" s="46"/>
      <c r="E85" s="46"/>
      <c r="F85" s="46"/>
      <c r="G85" s="46"/>
      <c r="H85" s="46"/>
    </row>
    <row r="86" spans="1:11" s="109" customFormat="1">
      <c r="A86" s="46"/>
      <c r="B86" s="46"/>
      <c r="C86" s="46"/>
      <c r="D86" s="46"/>
      <c r="E86" s="46"/>
      <c r="F86" s="46"/>
      <c r="G86" s="46"/>
      <c r="H86" s="46"/>
    </row>
    <row r="87" spans="1:11" s="109" customFormat="1">
      <c r="A87" s="46"/>
      <c r="B87" s="46"/>
      <c r="C87" s="46"/>
      <c r="D87" s="46"/>
      <c r="E87" s="46"/>
      <c r="F87" s="46"/>
      <c r="G87" s="46"/>
      <c r="H87" s="46"/>
      <c r="K87" s="46"/>
    </row>
    <row r="88" spans="1:11" s="109" customFormat="1">
      <c r="A88" s="46"/>
      <c r="B88" s="46"/>
      <c r="C88" s="46"/>
      <c r="D88" s="46"/>
      <c r="E88" s="46"/>
      <c r="F88" s="46"/>
      <c r="G88" s="46"/>
      <c r="H88" s="46"/>
      <c r="K88" s="46"/>
    </row>
    <row r="89" spans="1:11" s="109" customFormat="1">
      <c r="A89" s="46"/>
      <c r="B89" s="46"/>
      <c r="C89" s="46"/>
      <c r="D89" s="46"/>
      <c r="E89" s="46"/>
      <c r="F89" s="46"/>
      <c r="G89" s="46"/>
      <c r="H89" s="46"/>
      <c r="K89" s="46"/>
    </row>
    <row r="90" spans="1:11" s="109" customFormat="1">
      <c r="A90" s="46"/>
      <c r="B90" s="46"/>
      <c r="C90" s="46"/>
      <c r="D90" s="46"/>
      <c r="E90" s="46"/>
      <c r="F90" s="46"/>
      <c r="G90" s="46"/>
      <c r="H90" s="46"/>
      <c r="K90" s="46"/>
    </row>
    <row r="91" spans="1:11" s="109" customFormat="1">
      <c r="A91" s="46"/>
      <c r="B91" s="46"/>
      <c r="C91" s="46"/>
      <c r="D91" s="46"/>
      <c r="E91" s="46"/>
      <c r="F91" s="46"/>
      <c r="G91" s="46"/>
      <c r="H91" s="46"/>
      <c r="K91" s="46"/>
    </row>
    <row r="92" spans="1:11" s="109" customFormat="1">
      <c r="A92" s="46"/>
      <c r="B92" s="46"/>
      <c r="C92" s="46"/>
      <c r="D92" s="46"/>
      <c r="E92" s="46"/>
      <c r="F92" s="46"/>
      <c r="G92" s="46"/>
      <c r="H92" s="46"/>
      <c r="K92" s="46"/>
    </row>
    <row r="93" spans="1:11" s="109" customFormat="1">
      <c r="A93" s="46"/>
      <c r="B93" s="46"/>
      <c r="C93" s="46"/>
      <c r="D93" s="46"/>
      <c r="E93" s="46"/>
      <c r="F93" s="46"/>
      <c r="G93" s="46"/>
      <c r="H93" s="46"/>
      <c r="K93" s="46"/>
    </row>
    <row r="94" spans="1:11" s="109" customFormat="1">
      <c r="A94" s="46"/>
      <c r="B94" s="46"/>
      <c r="C94" s="46"/>
      <c r="D94" s="46"/>
      <c r="E94" s="46"/>
      <c r="F94" s="46"/>
      <c r="G94" s="46"/>
      <c r="H94" s="46"/>
      <c r="K94" s="46"/>
    </row>
    <row r="95" spans="1:11" s="109" customFormat="1">
      <c r="A95" s="46"/>
      <c r="B95" s="46"/>
      <c r="C95" s="46"/>
      <c r="D95" s="46"/>
      <c r="E95" s="46"/>
      <c r="F95" s="46"/>
      <c r="G95" s="46"/>
      <c r="H95" s="46"/>
      <c r="K95" s="46"/>
    </row>
    <row r="96" spans="1:11" s="109" customFormat="1">
      <c r="A96" s="46"/>
      <c r="B96" s="46"/>
      <c r="C96" s="46"/>
      <c r="D96" s="46"/>
      <c r="E96" s="46"/>
      <c r="F96" s="46"/>
      <c r="G96" s="46"/>
      <c r="H96" s="46"/>
      <c r="K96" s="46"/>
    </row>
    <row r="97" spans="1:11" s="109" customFormat="1">
      <c r="A97" s="46"/>
      <c r="B97" s="46"/>
      <c r="C97" s="46"/>
      <c r="D97" s="46"/>
      <c r="E97" s="46"/>
      <c r="F97" s="46"/>
      <c r="G97" s="46"/>
      <c r="H97" s="46"/>
      <c r="K97" s="46"/>
    </row>
    <row r="98" spans="1:11" s="109" customFormat="1">
      <c r="A98" s="46"/>
      <c r="B98" s="46"/>
      <c r="C98" s="46"/>
      <c r="D98" s="46"/>
      <c r="E98" s="46"/>
      <c r="F98" s="46"/>
      <c r="G98" s="46"/>
      <c r="H98" s="46"/>
      <c r="K98" s="46"/>
    </row>
    <row r="99" spans="1:11" s="109" customFormat="1">
      <c r="A99" s="46"/>
      <c r="B99" s="46"/>
      <c r="C99" s="46"/>
      <c r="D99" s="46"/>
      <c r="E99" s="46"/>
      <c r="F99" s="46"/>
      <c r="G99" s="46"/>
      <c r="H99" s="46"/>
      <c r="K99" s="46"/>
    </row>
  </sheetData>
  <mergeCells count="8">
    <mergeCell ref="B63:C63"/>
    <mergeCell ref="B64:C64"/>
    <mergeCell ref="A2:J2"/>
    <mergeCell ref="A3:J3"/>
    <mergeCell ref="A4:J4"/>
    <mergeCell ref="B60:C60"/>
    <mergeCell ref="B61:C61"/>
    <mergeCell ref="B62:C62"/>
  </mergeCells>
  <printOptions horizontalCentered="1"/>
  <pageMargins left="0.02" right="0.15" top="0.39" bottom="0.1" header="0.21" footer="0.1"/>
  <pageSetup scale="84" orientation="portrait" verticalDpi="30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M98"/>
  <sheetViews>
    <sheetView topLeftCell="A3" workbookViewId="0">
      <selection activeCell="F25" sqref="F24:F25"/>
    </sheetView>
  </sheetViews>
  <sheetFormatPr defaultRowHeight="12.75"/>
  <cols>
    <col min="1" max="1" width="6" style="46" customWidth="1"/>
    <col min="2" max="3" width="9.140625" style="46"/>
    <col min="4" max="4" width="16.5703125" style="46" customWidth="1"/>
    <col min="5" max="6" width="13.85546875" style="46" customWidth="1"/>
    <col min="7" max="7" width="10" style="46" customWidth="1"/>
    <col min="8" max="8" width="11.5703125" style="46" customWidth="1"/>
    <col min="9" max="9" width="11.42578125" style="46" customWidth="1"/>
    <col min="10" max="10" width="13.28515625" style="109" customWidth="1"/>
    <col min="11" max="11" width="15.7109375" style="46" customWidth="1"/>
    <col min="12" max="12" width="16.85546875" style="109" customWidth="1"/>
    <col min="13" max="13" width="17" style="109" customWidth="1"/>
    <col min="14" max="14" width="17" style="46" customWidth="1"/>
    <col min="15" max="16384" width="9.140625" style="46"/>
  </cols>
  <sheetData>
    <row r="1" spans="1:13">
      <c r="A1" s="47"/>
      <c r="B1" s="48"/>
      <c r="C1" s="48"/>
      <c r="D1" s="48"/>
      <c r="E1" s="48"/>
      <c r="F1" s="48"/>
      <c r="G1" s="48"/>
      <c r="H1" s="48"/>
      <c r="I1" s="48"/>
      <c r="J1" s="169" t="s">
        <v>81</v>
      </c>
    </row>
    <row r="2" spans="1:13">
      <c r="A2" s="389" t="s">
        <v>80</v>
      </c>
      <c r="B2" s="390"/>
      <c r="C2" s="390"/>
      <c r="D2" s="390"/>
      <c r="E2" s="390"/>
      <c r="F2" s="390"/>
      <c r="G2" s="390"/>
      <c r="H2" s="390"/>
      <c r="I2" s="390"/>
      <c r="J2" s="391"/>
    </row>
    <row r="3" spans="1:13">
      <c r="A3" s="389" t="s">
        <v>266</v>
      </c>
      <c r="B3" s="390"/>
      <c r="C3" s="390"/>
      <c r="D3" s="390"/>
      <c r="E3" s="390"/>
      <c r="F3" s="390"/>
      <c r="G3" s="390"/>
      <c r="H3" s="390"/>
      <c r="I3" s="390"/>
      <c r="J3" s="391"/>
    </row>
    <row r="4" spans="1:13">
      <c r="A4" s="389"/>
      <c r="B4" s="390"/>
      <c r="C4" s="390"/>
      <c r="D4" s="390"/>
      <c r="E4" s="390"/>
      <c r="F4" s="390"/>
      <c r="G4" s="390"/>
      <c r="H4" s="390"/>
      <c r="I4" s="390"/>
      <c r="J4" s="391"/>
    </row>
    <row r="5" spans="1:13">
      <c r="A5" s="54" t="s">
        <v>77</v>
      </c>
      <c r="B5" s="245"/>
      <c r="C5" s="245"/>
      <c r="D5" s="245"/>
      <c r="E5" s="245"/>
      <c r="F5" s="245"/>
      <c r="G5" s="245"/>
      <c r="H5" s="245"/>
      <c r="I5" s="245"/>
      <c r="J5" s="170"/>
    </row>
    <row r="6" spans="1:13">
      <c r="A6" s="54" t="s">
        <v>76</v>
      </c>
      <c r="B6" s="55"/>
      <c r="C6" s="55"/>
      <c r="D6" s="55"/>
      <c r="E6" s="55"/>
      <c r="F6" s="55"/>
      <c r="G6" s="55"/>
      <c r="H6" s="55"/>
      <c r="I6" s="55"/>
      <c r="J6" s="171"/>
      <c r="K6" s="46" t="s">
        <v>210</v>
      </c>
    </row>
    <row r="7" spans="1:13">
      <c r="A7" s="47"/>
      <c r="B7" s="48"/>
      <c r="C7" s="48"/>
      <c r="D7" s="49"/>
      <c r="E7" s="88" t="s">
        <v>8</v>
      </c>
      <c r="F7" s="50"/>
      <c r="G7" s="52"/>
      <c r="H7" s="52"/>
      <c r="I7" s="53"/>
      <c r="J7" s="110"/>
    </row>
    <row r="8" spans="1:13">
      <c r="A8" s="54"/>
      <c r="B8" s="55"/>
      <c r="C8" s="55"/>
      <c r="D8" s="56"/>
      <c r="E8" s="244" t="s">
        <v>9</v>
      </c>
      <c r="F8" s="53"/>
      <c r="G8" s="59"/>
      <c r="H8" s="59"/>
      <c r="I8" s="58"/>
      <c r="J8" s="111"/>
    </row>
    <row r="9" spans="1:13">
      <c r="A9" s="61" t="s">
        <v>68</v>
      </c>
      <c r="B9" s="55"/>
      <c r="C9" s="55"/>
      <c r="D9" s="56"/>
      <c r="E9" s="244" t="s">
        <v>10</v>
      </c>
      <c r="F9" s="60" t="s">
        <v>12</v>
      </c>
      <c r="G9" s="60" t="s">
        <v>14</v>
      </c>
      <c r="H9" s="60" t="s">
        <v>20</v>
      </c>
      <c r="I9" s="60" t="s">
        <v>22</v>
      </c>
      <c r="J9" s="112" t="s">
        <v>24</v>
      </c>
    </row>
    <row r="10" spans="1:13">
      <c r="A10" s="54"/>
      <c r="B10" s="55"/>
      <c r="C10" s="55"/>
      <c r="D10" s="56"/>
      <c r="E10" s="244" t="s">
        <v>11</v>
      </c>
      <c r="F10" s="60" t="s">
        <v>13</v>
      </c>
      <c r="G10" s="59"/>
      <c r="H10" s="60" t="s">
        <v>21</v>
      </c>
      <c r="I10" s="60" t="s">
        <v>23</v>
      </c>
      <c r="J10" s="111"/>
    </row>
    <row r="11" spans="1:13">
      <c r="A11" s="62"/>
      <c r="B11" s="63"/>
      <c r="C11" s="63"/>
      <c r="D11" s="64"/>
      <c r="E11" s="65">
        <v>0.3</v>
      </c>
      <c r="F11" s="66">
        <v>0.7</v>
      </c>
      <c r="G11" s="59"/>
      <c r="H11" s="67"/>
      <c r="I11" s="68"/>
      <c r="J11" s="113"/>
    </row>
    <row r="12" spans="1:13" ht="18" customHeight="1">
      <c r="A12" s="70" t="s">
        <v>0</v>
      </c>
      <c r="B12" s="71"/>
      <c r="C12" s="71"/>
      <c r="D12" s="72"/>
      <c r="E12" s="51"/>
      <c r="F12" s="51"/>
      <c r="G12" s="51"/>
      <c r="H12" s="51"/>
      <c r="I12" s="51"/>
      <c r="J12" s="110"/>
      <c r="L12" s="118" t="s">
        <v>90</v>
      </c>
      <c r="M12" s="118" t="s">
        <v>89</v>
      </c>
    </row>
    <row r="13" spans="1:13" ht="18" customHeight="1">
      <c r="A13" s="73" t="s">
        <v>1</v>
      </c>
      <c r="B13" s="72"/>
      <c r="C13" s="72"/>
      <c r="D13" s="72"/>
      <c r="E13" s="94">
        <f>M19*0.3</f>
        <v>589261.98944999999</v>
      </c>
      <c r="F13" s="94">
        <f>M19*0.7</f>
        <v>1374944.6420499999</v>
      </c>
      <c r="G13" s="94"/>
      <c r="H13" s="94"/>
      <c r="I13" s="94"/>
      <c r="J13" s="114">
        <f>SUM(E13:I13)</f>
        <v>1964206.6314999999</v>
      </c>
      <c r="K13" s="175" t="e">
        <f>SUM(J13+#REF!+#REF!+#REF!+#REF!+#REF!+#REF!+#REF!+#REF!+#REF!+#REF!+#REF!)</f>
        <v>#REF!</v>
      </c>
      <c r="L13" s="109">
        <v>21367644.399999999</v>
      </c>
      <c r="M13" s="109">
        <v>4171566.4</v>
      </c>
    </row>
    <row r="14" spans="1:13" ht="18" customHeight="1">
      <c r="A14" s="73" t="s">
        <v>2</v>
      </c>
      <c r="B14" s="72"/>
      <c r="C14" s="72"/>
      <c r="D14" s="72"/>
      <c r="E14" s="102"/>
      <c r="F14" s="102"/>
      <c r="G14" s="102"/>
      <c r="H14" s="102"/>
      <c r="I14" s="102"/>
      <c r="J14" s="110">
        <f>SUM(E14:I14)</f>
        <v>0</v>
      </c>
      <c r="K14" s="117" t="s">
        <v>88</v>
      </c>
      <c r="L14" s="109">
        <v>9400000</v>
      </c>
      <c r="M14" s="109">
        <v>5637398.9699999997</v>
      </c>
    </row>
    <row r="15" spans="1:13" ht="18" customHeight="1">
      <c r="A15" s="75" t="s">
        <v>3</v>
      </c>
      <c r="B15" s="48"/>
      <c r="C15" s="48"/>
      <c r="D15" s="48"/>
      <c r="E15" s="102"/>
      <c r="F15" s="102"/>
      <c r="G15" s="102"/>
      <c r="H15" s="102"/>
      <c r="I15" s="102"/>
      <c r="J15" s="110"/>
      <c r="L15" s="116">
        <f>SUM(L13:L14)</f>
        <v>30767644.399999999</v>
      </c>
      <c r="M15" s="116">
        <f>SUM(M13:M14)</f>
        <v>9808965.3699999992</v>
      </c>
    </row>
    <row r="16" spans="1:13" ht="18" customHeight="1">
      <c r="A16" s="76" t="s">
        <v>78</v>
      </c>
      <c r="B16" s="55"/>
      <c r="C16" s="55"/>
      <c r="D16" s="55"/>
      <c r="E16" s="103"/>
      <c r="F16" s="103"/>
      <c r="G16" s="103"/>
      <c r="H16" s="103"/>
      <c r="I16" s="103"/>
      <c r="J16" s="113">
        <f>SUM(E16:I16)</f>
        <v>0</v>
      </c>
      <c r="K16" s="46">
        <v>11930281.960000001</v>
      </c>
    </row>
    <row r="17" spans="1:13" ht="18" customHeight="1">
      <c r="A17" s="77" t="s">
        <v>79</v>
      </c>
      <c r="B17" s="72"/>
      <c r="C17" s="72"/>
      <c r="D17" s="72"/>
      <c r="E17" s="94"/>
      <c r="F17" s="94"/>
      <c r="G17" s="94"/>
      <c r="H17" s="94"/>
      <c r="I17" s="94"/>
      <c r="J17" s="113">
        <f>SUM(E17:I17)</f>
        <v>0</v>
      </c>
      <c r="K17" s="173">
        <f>K16-J16</f>
        <v>11930281.960000001</v>
      </c>
      <c r="M17" s="109">
        <v>25936573.030000001</v>
      </c>
    </row>
    <row r="18" spans="1:13" ht="18" customHeight="1">
      <c r="A18" s="70" t="s">
        <v>7</v>
      </c>
      <c r="B18" s="72"/>
      <c r="C18" s="72"/>
      <c r="D18" s="72"/>
      <c r="E18" s="119">
        <f>SUM(E13:E17)</f>
        <v>589261.98944999999</v>
      </c>
      <c r="F18" s="119">
        <f t="shared" ref="F18:J18" si="0">SUM(F13:F17)</f>
        <v>1374944.6420499999</v>
      </c>
      <c r="G18" s="119">
        <f t="shared" si="0"/>
        <v>0</v>
      </c>
      <c r="H18" s="119">
        <f t="shared" si="0"/>
        <v>0</v>
      </c>
      <c r="I18" s="119">
        <f t="shared" si="0"/>
        <v>0</v>
      </c>
      <c r="J18" s="119">
        <f t="shared" si="0"/>
        <v>1964206.6314999999</v>
      </c>
      <c r="K18" s="166">
        <f t="shared" ref="K18:K44" si="1">SUM(E18:I18)</f>
        <v>1964206.6314999999</v>
      </c>
      <c r="L18" s="193" t="s">
        <v>171</v>
      </c>
      <c r="M18" s="192">
        <f>521756827.69-482472695.06</f>
        <v>39284132.629999995</v>
      </c>
    </row>
    <row r="19" spans="1:13" s="109" customFormat="1" ht="18" customHeight="1">
      <c r="A19" s="74" t="s">
        <v>99</v>
      </c>
      <c r="B19" s="72" t="s">
        <v>100</v>
      </c>
      <c r="C19" s="72"/>
      <c r="D19" s="72"/>
      <c r="E19" s="94">
        <f>SUM('DRRM Funds Aug2015'!E45)</f>
        <v>16507223.625049999</v>
      </c>
      <c r="F19" s="94">
        <f>SUM('DRRM Funds Aug2015'!F45)</f>
        <v>24138300.478449993</v>
      </c>
      <c r="G19" s="94">
        <f>SUM('DRRM Funds Aug2015'!G45)</f>
        <v>0</v>
      </c>
      <c r="H19" s="94">
        <f>SUM('DRRM Funds Aug2015'!H45)</f>
        <v>0</v>
      </c>
      <c r="I19" s="94">
        <f>SUM('DRRM Funds Aug2015'!I45)</f>
        <v>0</v>
      </c>
      <c r="J19" s="94">
        <f>SUM('DRRM Funds Aug2015'!J45)</f>
        <v>40645524.103499994</v>
      </c>
      <c r="K19" s="166">
        <f t="shared" si="1"/>
        <v>40645524.103499994</v>
      </c>
      <c r="L19" s="194">
        <v>0.05</v>
      </c>
      <c r="M19" s="192">
        <f>M18*0.05</f>
        <v>1964206.6314999999</v>
      </c>
    </row>
    <row r="20" spans="1:13" s="109" customFormat="1" ht="18" customHeight="1">
      <c r="A20" s="70" t="s">
        <v>101</v>
      </c>
      <c r="B20" s="122"/>
      <c r="C20" s="72"/>
      <c r="D20" s="72"/>
      <c r="E20" s="119">
        <f>SUM(E18:E19)</f>
        <v>17096485.614499997</v>
      </c>
      <c r="F20" s="119">
        <f t="shared" ref="F20:J20" si="2">SUM(F18:F19)</f>
        <v>25513245.120499991</v>
      </c>
      <c r="G20" s="119">
        <f t="shared" si="2"/>
        <v>0</v>
      </c>
      <c r="H20" s="119">
        <f t="shared" si="2"/>
        <v>0</v>
      </c>
      <c r="I20" s="119">
        <f t="shared" si="2"/>
        <v>0</v>
      </c>
      <c r="J20" s="119">
        <f t="shared" si="2"/>
        <v>42609730.734999992</v>
      </c>
      <c r="K20" s="166">
        <f t="shared" si="1"/>
        <v>42609730.734999985</v>
      </c>
    </row>
    <row r="21" spans="1:13" ht="18" customHeight="1">
      <c r="A21" s="70" t="s">
        <v>15</v>
      </c>
      <c r="B21" s="72"/>
      <c r="C21" s="72"/>
      <c r="D21" s="72"/>
      <c r="E21" s="94"/>
      <c r="F21" s="94"/>
      <c r="G21" s="94"/>
      <c r="H21" s="94"/>
      <c r="I21" s="94"/>
      <c r="J21" s="114"/>
      <c r="K21" s="166">
        <f t="shared" si="1"/>
        <v>0</v>
      </c>
      <c r="M21" s="109">
        <v>26972032.48</v>
      </c>
    </row>
    <row r="22" spans="1:13" ht="18" customHeight="1">
      <c r="A22" s="78" t="s">
        <v>206</v>
      </c>
      <c r="B22" s="72"/>
      <c r="C22" s="72"/>
      <c r="D22" s="72"/>
      <c r="E22" s="94"/>
      <c r="F22" s="94"/>
      <c r="G22" s="94"/>
      <c r="H22" s="94"/>
      <c r="I22" s="94"/>
      <c r="J22" s="114">
        <f>SUM(E22:I22)</f>
        <v>0</v>
      </c>
      <c r="K22" s="166"/>
    </row>
    <row r="23" spans="1:13" ht="18" customHeight="1">
      <c r="A23" s="78" t="s">
        <v>251</v>
      </c>
      <c r="B23" s="72"/>
      <c r="C23" s="72"/>
      <c r="D23" s="72"/>
      <c r="E23" s="94"/>
      <c r="F23" s="94"/>
      <c r="G23" s="94"/>
      <c r="H23" s="94"/>
      <c r="I23" s="94"/>
      <c r="J23" s="114">
        <f t="shared" ref="J23:J41" si="3">SUM(E23:I23)</f>
        <v>0</v>
      </c>
      <c r="K23" s="166">
        <f t="shared" si="1"/>
        <v>0</v>
      </c>
      <c r="L23" s="176">
        <f>518731460.56*0.05</f>
        <v>25936573.028000001</v>
      </c>
      <c r="M23" s="109">
        <v>125607.13</v>
      </c>
    </row>
    <row r="24" spans="1:13" ht="18" customHeight="1">
      <c r="A24" s="78" t="s">
        <v>229</v>
      </c>
      <c r="B24" s="72"/>
      <c r="C24" s="72"/>
      <c r="D24" s="72"/>
      <c r="E24" s="94"/>
      <c r="F24" s="94">
        <v>33550</v>
      </c>
      <c r="G24" s="94"/>
      <c r="H24" s="94"/>
      <c r="I24" s="94"/>
      <c r="J24" s="114">
        <f t="shared" si="3"/>
        <v>33550</v>
      </c>
      <c r="K24" s="166"/>
      <c r="L24" s="228"/>
    </row>
    <row r="25" spans="1:13" ht="18" customHeight="1">
      <c r="A25" s="78" t="s">
        <v>252</v>
      </c>
      <c r="B25" s="72"/>
      <c r="C25" s="72"/>
      <c r="D25" s="72"/>
      <c r="E25" s="94"/>
      <c r="F25" s="94">
        <v>252400</v>
      </c>
      <c r="G25" s="94"/>
      <c r="H25" s="94"/>
      <c r="I25" s="94"/>
      <c r="J25" s="114">
        <f t="shared" si="3"/>
        <v>252400</v>
      </c>
      <c r="K25" s="166">
        <f t="shared" si="1"/>
        <v>252400</v>
      </c>
      <c r="L25" s="109" t="e">
        <f>L23-K13</f>
        <v>#REF!</v>
      </c>
      <c r="M25" s="109">
        <v>510000</v>
      </c>
    </row>
    <row r="26" spans="1:13" ht="18" customHeight="1">
      <c r="A26" s="78" t="s">
        <v>71</v>
      </c>
      <c r="B26" s="72"/>
      <c r="C26" s="72"/>
      <c r="D26" s="72"/>
      <c r="E26" s="94"/>
      <c r="F26" s="94">
        <v>491357.46</v>
      </c>
      <c r="G26" s="94"/>
      <c r="H26" s="94"/>
      <c r="I26" s="94"/>
      <c r="J26" s="114">
        <f t="shared" si="3"/>
        <v>491357.46</v>
      </c>
      <c r="K26" s="166">
        <f t="shared" si="1"/>
        <v>491357.46</v>
      </c>
      <c r="M26" s="109">
        <v>1430000</v>
      </c>
    </row>
    <row r="27" spans="1:13" ht="18" customHeight="1">
      <c r="A27" s="79" t="s">
        <v>91</v>
      </c>
      <c r="B27" s="72"/>
      <c r="C27" s="72"/>
      <c r="D27" s="72"/>
      <c r="E27" s="94"/>
      <c r="F27" s="94">
        <v>8000</v>
      </c>
      <c r="G27" s="94"/>
      <c r="H27" s="94"/>
      <c r="I27" s="94"/>
      <c r="J27" s="114">
        <f t="shared" si="3"/>
        <v>8000</v>
      </c>
      <c r="K27" s="166">
        <f t="shared" si="1"/>
        <v>8000</v>
      </c>
      <c r="M27" s="109">
        <v>4285413.1100000003</v>
      </c>
    </row>
    <row r="28" spans="1:13" ht="18" customHeight="1">
      <c r="A28" s="78" t="s">
        <v>17</v>
      </c>
      <c r="B28" s="72"/>
      <c r="C28" s="72"/>
      <c r="D28" s="72"/>
      <c r="E28" s="94"/>
      <c r="F28" s="94"/>
      <c r="G28" s="94"/>
      <c r="H28" s="94"/>
      <c r="I28" s="94"/>
      <c r="J28" s="114">
        <f t="shared" si="3"/>
        <v>0</v>
      </c>
      <c r="K28" s="166">
        <f t="shared" si="1"/>
        <v>0</v>
      </c>
      <c r="M28" s="109">
        <v>3777930</v>
      </c>
    </row>
    <row r="29" spans="1:13" ht="18" customHeight="1">
      <c r="A29" s="78" t="s">
        <v>227</v>
      </c>
      <c r="B29" s="72"/>
      <c r="C29" s="72"/>
      <c r="D29" s="72"/>
      <c r="E29" s="94"/>
      <c r="F29" s="94">
        <v>99000</v>
      </c>
      <c r="G29" s="94"/>
      <c r="H29" s="94"/>
      <c r="I29" s="94"/>
      <c r="J29" s="114">
        <f t="shared" si="3"/>
        <v>99000</v>
      </c>
      <c r="K29" s="166">
        <f t="shared" si="1"/>
        <v>99000</v>
      </c>
      <c r="L29" s="118" t="s">
        <v>162</v>
      </c>
      <c r="M29" s="109">
        <v>100</v>
      </c>
    </row>
    <row r="30" spans="1:13" ht="18" customHeight="1">
      <c r="A30" s="78" t="s">
        <v>213</v>
      </c>
      <c r="B30" s="72"/>
      <c r="C30" s="72"/>
      <c r="D30" s="72"/>
      <c r="E30" s="94"/>
      <c r="F30" s="94">
        <v>43000</v>
      </c>
      <c r="G30" s="94"/>
      <c r="H30" s="94"/>
      <c r="I30" s="94"/>
      <c r="J30" s="114">
        <f t="shared" si="3"/>
        <v>43000</v>
      </c>
      <c r="K30" s="166"/>
      <c r="L30" s="118"/>
      <c r="M30" s="109">
        <f>SUM(M23:M29)</f>
        <v>10129050.24</v>
      </c>
    </row>
    <row r="31" spans="1:13" ht="18" customHeight="1">
      <c r="A31" s="78" t="s">
        <v>250</v>
      </c>
      <c r="B31" s="72"/>
      <c r="C31" s="72"/>
      <c r="D31" s="72"/>
      <c r="E31" s="94"/>
      <c r="F31" s="94">
        <v>98865</v>
      </c>
      <c r="G31" s="94"/>
      <c r="H31" s="94"/>
      <c r="I31" s="94"/>
      <c r="J31" s="114">
        <f t="shared" si="3"/>
        <v>98865</v>
      </c>
      <c r="K31" s="166"/>
      <c r="L31" s="118"/>
    </row>
    <row r="32" spans="1:13" ht="18" customHeight="1">
      <c r="A32" s="78" t="s">
        <v>214</v>
      </c>
      <c r="B32" s="72"/>
      <c r="C32" s="72"/>
      <c r="D32" s="72"/>
      <c r="E32" s="94"/>
      <c r="F32" s="94">
        <v>182200</v>
      </c>
      <c r="G32" s="94"/>
      <c r="H32" s="94"/>
      <c r="I32" s="94"/>
      <c r="J32" s="114">
        <f t="shared" si="3"/>
        <v>182200</v>
      </c>
      <c r="K32" s="227" t="s">
        <v>226</v>
      </c>
      <c r="L32" s="118"/>
    </row>
    <row r="33" spans="1:13" ht="18" customHeight="1">
      <c r="A33" s="78" t="s">
        <v>249</v>
      </c>
      <c r="B33" s="72"/>
      <c r="C33" s="72"/>
      <c r="D33" s="72"/>
      <c r="E33" s="94"/>
      <c r="F33" s="94">
        <v>144359.65</v>
      </c>
      <c r="G33" s="94"/>
      <c r="H33" s="94"/>
      <c r="I33" s="94"/>
      <c r="J33" s="114">
        <f t="shared" si="3"/>
        <v>144359.65</v>
      </c>
      <c r="K33" s="227"/>
      <c r="L33" s="118"/>
    </row>
    <row r="34" spans="1:13" ht="18" customHeight="1">
      <c r="A34" s="78" t="s">
        <v>102</v>
      </c>
      <c r="B34" s="72"/>
      <c r="C34" s="72"/>
      <c r="D34" s="72"/>
      <c r="E34" s="94"/>
      <c r="F34" s="94"/>
      <c r="G34" s="94"/>
      <c r="H34" s="94"/>
      <c r="I34" s="94"/>
      <c r="J34" s="114">
        <f t="shared" si="3"/>
        <v>0</v>
      </c>
      <c r="K34" s="226">
        <f t="shared" si="1"/>
        <v>0</v>
      </c>
      <c r="L34" s="109">
        <f>SUM(F29:F34)</f>
        <v>567424.65</v>
      </c>
    </row>
    <row r="35" spans="1:13" ht="18" customHeight="1">
      <c r="A35" s="78" t="s">
        <v>19</v>
      </c>
      <c r="B35" s="72"/>
      <c r="C35" s="72"/>
      <c r="D35" s="72"/>
      <c r="E35" s="94"/>
      <c r="F35" s="94"/>
      <c r="G35" s="94"/>
      <c r="H35" s="94"/>
      <c r="I35" s="94"/>
      <c r="J35" s="114">
        <f t="shared" si="3"/>
        <v>0</v>
      </c>
      <c r="K35" s="166">
        <f t="shared" si="1"/>
        <v>0</v>
      </c>
      <c r="L35" s="109">
        <v>147060</v>
      </c>
    </row>
    <row r="36" spans="1:13" ht="18" customHeight="1">
      <c r="A36" s="78" t="s">
        <v>168</v>
      </c>
      <c r="B36" s="72"/>
      <c r="C36" s="72"/>
      <c r="D36" s="72"/>
      <c r="E36" s="94"/>
      <c r="F36" s="94"/>
      <c r="G36" s="94"/>
      <c r="H36" s="94"/>
      <c r="I36" s="94"/>
      <c r="J36" s="114">
        <f t="shared" si="3"/>
        <v>0</v>
      </c>
      <c r="K36" s="166">
        <f t="shared" si="1"/>
        <v>0</v>
      </c>
    </row>
    <row r="37" spans="1:13" ht="18" customHeight="1">
      <c r="A37" s="78" t="s">
        <v>208</v>
      </c>
      <c r="B37" s="72"/>
      <c r="C37" s="72"/>
      <c r="D37" s="72"/>
      <c r="E37" s="94"/>
      <c r="F37" s="94"/>
      <c r="G37" s="94"/>
      <c r="H37" s="94"/>
      <c r="I37" s="94"/>
      <c r="J37" s="114">
        <f t="shared" si="3"/>
        <v>0</v>
      </c>
      <c r="K37" s="166">
        <f t="shared" si="1"/>
        <v>0</v>
      </c>
      <c r="L37" s="109">
        <v>1555500</v>
      </c>
    </row>
    <row r="38" spans="1:13" ht="18" customHeight="1">
      <c r="A38" s="78" t="s">
        <v>207</v>
      </c>
      <c r="B38" s="72"/>
      <c r="C38" s="72"/>
      <c r="D38" s="72"/>
      <c r="E38" s="94"/>
      <c r="F38" s="94">
        <v>44256.5</v>
      </c>
      <c r="G38" s="94"/>
      <c r="H38" s="94"/>
      <c r="I38" s="94"/>
      <c r="J38" s="114">
        <f>SUM(E38:I38)</f>
        <v>44256.5</v>
      </c>
      <c r="K38" s="166"/>
    </row>
    <row r="39" spans="1:13" ht="18" customHeight="1">
      <c r="A39" s="79" t="s">
        <v>94</v>
      </c>
      <c r="B39" s="72"/>
      <c r="C39" s="72"/>
      <c r="D39" s="72"/>
      <c r="E39" s="94"/>
      <c r="F39" s="94"/>
      <c r="G39" s="94"/>
      <c r="H39" s="94"/>
      <c r="I39" s="94"/>
      <c r="J39" s="114">
        <f t="shared" si="3"/>
        <v>0</v>
      </c>
      <c r="K39" s="166">
        <f t="shared" si="1"/>
        <v>0</v>
      </c>
      <c r="L39" s="109">
        <v>177000</v>
      </c>
    </row>
    <row r="40" spans="1:13" ht="18" customHeight="1">
      <c r="A40" s="79" t="s">
        <v>95</v>
      </c>
      <c r="B40" s="72"/>
      <c r="C40" s="72"/>
      <c r="D40" s="72"/>
      <c r="E40" s="94"/>
      <c r="F40" s="94"/>
      <c r="G40" s="94"/>
      <c r="H40" s="94"/>
      <c r="I40" s="94"/>
      <c r="J40" s="114">
        <f t="shared" si="3"/>
        <v>0</v>
      </c>
      <c r="K40" s="166">
        <f t="shared" si="1"/>
        <v>0</v>
      </c>
      <c r="L40" s="109">
        <v>204055</v>
      </c>
    </row>
    <row r="41" spans="1:13" ht="18" customHeight="1">
      <c r="A41" s="78" t="s">
        <v>96</v>
      </c>
      <c r="B41" s="72"/>
      <c r="C41" s="72"/>
      <c r="D41" s="72"/>
      <c r="E41" s="94"/>
      <c r="F41" s="94"/>
      <c r="G41" s="94"/>
      <c r="H41" s="94"/>
      <c r="I41" s="94"/>
      <c r="J41" s="114">
        <f t="shared" si="3"/>
        <v>0</v>
      </c>
      <c r="K41" s="166">
        <f t="shared" si="1"/>
        <v>0</v>
      </c>
      <c r="L41" s="109">
        <v>71070</v>
      </c>
    </row>
    <row r="42" spans="1:13" ht="18" customHeight="1">
      <c r="A42" s="84" t="s">
        <v>92</v>
      </c>
      <c r="B42" s="63"/>
      <c r="C42" s="63"/>
      <c r="D42" s="63"/>
      <c r="E42" s="94">
        <f t="shared" ref="E42:J42" si="4">SUM(E22:E41)</f>
        <v>0</v>
      </c>
      <c r="F42" s="94">
        <f t="shared" si="4"/>
        <v>1396988.6099999999</v>
      </c>
      <c r="G42" s="94">
        <f t="shared" si="4"/>
        <v>0</v>
      </c>
      <c r="H42" s="94">
        <f t="shared" si="4"/>
        <v>0</v>
      </c>
      <c r="I42" s="94">
        <f t="shared" si="4"/>
        <v>0</v>
      </c>
      <c r="J42" s="94">
        <f t="shared" si="4"/>
        <v>1396988.6099999999</v>
      </c>
      <c r="K42" s="166">
        <f t="shared" si="1"/>
        <v>1396988.6099999999</v>
      </c>
      <c r="L42" s="109">
        <v>27800</v>
      </c>
      <c r="M42" s="46"/>
    </row>
    <row r="43" spans="1:13" ht="18" customHeight="1">
      <c r="A43" s="84" t="s">
        <v>103</v>
      </c>
      <c r="B43" s="63"/>
      <c r="C43" s="63"/>
      <c r="D43" s="63"/>
      <c r="E43" s="103">
        <f>SUM('DRRM Funds Aug2015'!E44)</f>
        <v>0</v>
      </c>
      <c r="F43" s="103">
        <f>SUM('DRRM Funds Aug2015'!F44)</f>
        <v>14775091.709999999</v>
      </c>
      <c r="G43" s="103">
        <f>SUM('DRRM Funds Aug2015'!G44)</f>
        <v>0</v>
      </c>
      <c r="H43" s="103">
        <f>SUM('DRRM Funds Aug2015'!H44)</f>
        <v>0</v>
      </c>
      <c r="I43" s="103">
        <f>SUM('DRRM Funds Aug2015'!I44)</f>
        <v>0</v>
      </c>
      <c r="J43" s="103">
        <f>SUM('DRRM Funds Aug2015'!J44)</f>
        <v>14775091.709999999</v>
      </c>
      <c r="K43" s="166">
        <f t="shared" si="1"/>
        <v>14775091.709999999</v>
      </c>
      <c r="L43" s="109">
        <v>126865</v>
      </c>
      <c r="M43" s="109">
        <f>SUM(E43:H43)</f>
        <v>14775091.709999999</v>
      </c>
    </row>
    <row r="44" spans="1:13" ht="18" customHeight="1">
      <c r="A44" s="84" t="s">
        <v>104</v>
      </c>
      <c r="B44" s="63"/>
      <c r="C44" s="63"/>
      <c r="D44" s="63"/>
      <c r="E44" s="103">
        <f>SUM(E42:E43)</f>
        <v>0</v>
      </c>
      <c r="F44" s="103">
        <f>SUM(F42:F43)</f>
        <v>16172080.319999998</v>
      </c>
      <c r="G44" s="103">
        <f t="shared" ref="G44:J44" si="5">SUM(G42:G43)</f>
        <v>0</v>
      </c>
      <c r="H44" s="103">
        <f t="shared" si="5"/>
        <v>0</v>
      </c>
      <c r="I44" s="103">
        <f t="shared" si="5"/>
        <v>0</v>
      </c>
      <c r="J44" s="103">
        <f t="shared" si="5"/>
        <v>16172080.319999998</v>
      </c>
      <c r="K44" s="166">
        <f t="shared" si="1"/>
        <v>16172080.319999998</v>
      </c>
      <c r="L44" s="174">
        <f>SUM(L34:L43)</f>
        <v>2876774.65</v>
      </c>
      <c r="M44" s="109">
        <v>10492358.970000001</v>
      </c>
    </row>
    <row r="45" spans="1:13" ht="18" customHeight="1">
      <c r="A45" s="70" t="s">
        <v>93</v>
      </c>
      <c r="B45" s="72"/>
      <c r="C45" s="72"/>
      <c r="D45" s="80"/>
      <c r="E45" s="231">
        <f t="shared" ref="E45:J45" si="6">E20-E42</f>
        <v>17096485.614499997</v>
      </c>
      <c r="F45" s="231">
        <f t="shared" si="6"/>
        <v>24116256.510499991</v>
      </c>
      <c r="G45" s="231">
        <f t="shared" si="6"/>
        <v>0</v>
      </c>
      <c r="H45" s="231">
        <f t="shared" si="6"/>
        <v>0</v>
      </c>
      <c r="I45" s="231">
        <f t="shared" si="6"/>
        <v>0</v>
      </c>
      <c r="J45" s="231">
        <f t="shared" si="6"/>
        <v>41212742.124999993</v>
      </c>
      <c r="K45" s="166">
        <f>SUM(E45:I45)</f>
        <v>41212742.124999985</v>
      </c>
      <c r="L45" s="46"/>
      <c r="M45" s="109">
        <f>M44-L44</f>
        <v>7615584.3200000003</v>
      </c>
    </row>
    <row r="46" spans="1:13" ht="18" customHeight="1">
      <c r="A46" s="55"/>
      <c r="B46" s="55"/>
      <c r="C46" s="55"/>
      <c r="D46" s="55"/>
      <c r="E46" s="55"/>
      <c r="F46" s="55"/>
      <c r="G46" s="55"/>
      <c r="H46" s="55"/>
      <c r="I46" s="55"/>
      <c r="J46" s="115" t="s">
        <v>74</v>
      </c>
      <c r="K46" s="92">
        <f>SUM(E45:F45)</f>
        <v>41212742.124999985</v>
      </c>
      <c r="M46" s="109">
        <v>0</v>
      </c>
    </row>
    <row r="47" spans="1:13">
      <c r="A47" s="55" t="s">
        <v>83</v>
      </c>
      <c r="B47" s="55"/>
      <c r="C47" s="55"/>
      <c r="D47" s="55"/>
      <c r="E47" s="55"/>
      <c r="F47" s="55"/>
      <c r="G47" s="55"/>
      <c r="H47" s="55" t="s">
        <v>29</v>
      </c>
      <c r="I47" s="55"/>
      <c r="J47" s="115"/>
      <c r="K47" s="55"/>
      <c r="L47" s="109">
        <v>752760</v>
      </c>
    </row>
    <row r="48" spans="1:13">
      <c r="A48" s="55"/>
      <c r="B48" s="55"/>
      <c r="C48" s="55"/>
      <c r="D48" s="55"/>
      <c r="E48" s="55"/>
      <c r="F48" s="55"/>
      <c r="G48" s="55"/>
      <c r="H48" s="55"/>
      <c r="I48" s="55"/>
      <c r="J48" s="115"/>
      <c r="K48" s="55"/>
      <c r="L48" s="109">
        <v>902075</v>
      </c>
    </row>
    <row r="49" spans="1:13">
      <c r="A49" s="82" t="s">
        <v>202</v>
      </c>
      <c r="B49" s="55"/>
      <c r="C49" s="55"/>
      <c r="D49" s="55"/>
      <c r="E49" s="55"/>
      <c r="F49" s="55"/>
      <c r="G49" s="55"/>
      <c r="H49" s="241" t="s">
        <v>194</v>
      </c>
      <c r="I49" s="55"/>
      <c r="J49" s="115"/>
      <c r="K49" s="55"/>
      <c r="L49" s="109">
        <v>504234.65</v>
      </c>
      <c r="M49" s="109">
        <v>8736531.7100000009</v>
      </c>
    </row>
    <row r="50" spans="1:13">
      <c r="A50" s="140" t="s">
        <v>203</v>
      </c>
      <c r="B50" s="55"/>
      <c r="C50" s="55"/>
      <c r="D50" s="55"/>
      <c r="E50" s="55"/>
      <c r="F50" s="55"/>
      <c r="G50" s="55"/>
      <c r="H50" s="140" t="s">
        <v>195</v>
      </c>
      <c r="I50" s="55"/>
      <c r="J50" s="115"/>
      <c r="K50" s="55"/>
      <c r="L50" s="109">
        <v>899145</v>
      </c>
      <c r="M50" s="109">
        <v>10140</v>
      </c>
    </row>
    <row r="51" spans="1:13">
      <c r="A51" s="55"/>
      <c r="B51" s="55"/>
      <c r="C51" s="55"/>
      <c r="D51" s="55"/>
      <c r="E51" s="121" t="s">
        <v>237</v>
      </c>
      <c r="F51" s="55"/>
      <c r="G51" s="55"/>
      <c r="H51" s="55"/>
      <c r="I51" s="55"/>
      <c r="J51" s="115"/>
      <c r="K51" s="55"/>
      <c r="L51" s="109">
        <v>1087927.3999999999</v>
      </c>
      <c r="M51" s="109">
        <f>SUM(M49:M50)</f>
        <v>8746671.7100000009</v>
      </c>
    </row>
    <row r="52" spans="1:13">
      <c r="A52" s="55"/>
      <c r="B52" s="55"/>
      <c r="C52" s="55"/>
      <c r="D52" s="55"/>
      <c r="E52" s="115"/>
      <c r="F52" s="55"/>
      <c r="G52" s="55"/>
      <c r="H52" s="55"/>
      <c r="I52" s="115"/>
      <c r="J52" s="115"/>
      <c r="K52" s="55"/>
      <c r="L52" s="109">
        <v>2896515.5</v>
      </c>
    </row>
    <row r="53" spans="1:13">
      <c r="A53" s="55"/>
      <c r="B53" s="55"/>
      <c r="C53" s="55"/>
      <c r="D53" s="55"/>
      <c r="E53" s="82" t="s">
        <v>149</v>
      </c>
      <c r="F53" s="55"/>
      <c r="G53" s="55"/>
      <c r="H53" s="55"/>
      <c r="I53" s="115"/>
      <c r="J53" s="115"/>
      <c r="K53" s="55"/>
    </row>
    <row r="54" spans="1:13">
      <c r="A54" s="55"/>
      <c r="B54" s="55"/>
      <c r="C54" s="55"/>
      <c r="D54" s="55"/>
      <c r="E54" s="55" t="s">
        <v>238</v>
      </c>
      <c r="F54" s="55"/>
      <c r="G54" s="55"/>
      <c r="H54" s="55"/>
      <c r="I54" s="115"/>
      <c r="J54" s="115"/>
      <c r="K54" s="55"/>
      <c r="L54" s="109">
        <v>120000</v>
      </c>
    </row>
    <row r="55" spans="1:13">
      <c r="I55" s="109"/>
      <c r="M55" s="46"/>
    </row>
    <row r="56" spans="1:13">
      <c r="F56" s="121">
        <f>F18-F57</f>
        <v>-800209.65794999991</v>
      </c>
      <c r="I56" s="109"/>
      <c r="K56" s="55"/>
      <c r="L56" s="115">
        <v>630000</v>
      </c>
      <c r="M56" s="183">
        <v>10644424.82</v>
      </c>
    </row>
    <row r="57" spans="1:13">
      <c r="F57" s="115">
        <f>49980+103610+255752.8+265335+81917.75+32889+315132+287135.25+143400+640002.5</f>
        <v>2175154.2999999998</v>
      </c>
      <c r="I57" s="109"/>
      <c r="J57" s="109">
        <v>7850000</v>
      </c>
      <c r="L57" s="109">
        <v>1000000</v>
      </c>
      <c r="M57" s="183">
        <v>13157941.960000001</v>
      </c>
    </row>
    <row r="58" spans="1:13">
      <c r="I58" s="109"/>
      <c r="J58" s="109">
        <v>800000</v>
      </c>
      <c r="L58" s="109">
        <v>1300000</v>
      </c>
      <c r="M58" s="184">
        <v>0</v>
      </c>
    </row>
    <row r="59" spans="1:13">
      <c r="I59" s="109"/>
      <c r="J59" s="109">
        <v>1200000</v>
      </c>
      <c r="L59" s="109">
        <v>2000000</v>
      </c>
      <c r="M59" s="183">
        <f>SUM(M56:M58)</f>
        <v>23802366.780000001</v>
      </c>
    </row>
    <row r="60" spans="1:13">
      <c r="I60" s="109"/>
      <c r="J60" s="109">
        <v>3500000</v>
      </c>
      <c r="L60" s="109">
        <v>150000</v>
      </c>
      <c r="M60" s="183">
        <v>24092226.780000001</v>
      </c>
    </row>
    <row r="61" spans="1:13">
      <c r="I61" s="109">
        <v>100000</v>
      </c>
      <c r="J61" s="116">
        <f>SUM(J57:J60)</f>
        <v>13350000</v>
      </c>
      <c r="L61" s="109">
        <v>4590281.96</v>
      </c>
      <c r="M61" s="183">
        <f>M60-M59</f>
        <v>289860</v>
      </c>
    </row>
    <row r="62" spans="1:13">
      <c r="I62" s="109">
        <v>4589687.1100000003</v>
      </c>
      <c r="J62" s="109">
        <v>16829861.079999998</v>
      </c>
      <c r="L62" s="109">
        <f>SUM(L56:L61)</f>
        <v>9670281.9600000009</v>
      </c>
      <c r="M62" s="46"/>
    </row>
    <row r="63" spans="1:13">
      <c r="I63" s="116">
        <f>SUM(I57:I62)</f>
        <v>4689687.1100000003</v>
      </c>
      <c r="J63" s="109">
        <f>J61-J62</f>
        <v>-3479861.0799999982</v>
      </c>
      <c r="M63" s="109">
        <v>24416573.030000001</v>
      </c>
    </row>
    <row r="64" spans="1:13">
      <c r="I64" s="109">
        <v>7212797.6100000003</v>
      </c>
      <c r="M64" s="109">
        <v>24708913.030000001</v>
      </c>
    </row>
    <row r="65" spans="1:13">
      <c r="I65" s="109">
        <f>I63-I64</f>
        <v>-2523110.5</v>
      </c>
      <c r="M65" s="109">
        <f>M63-M64</f>
        <v>-292340</v>
      </c>
    </row>
    <row r="66" spans="1:13">
      <c r="I66" s="109"/>
      <c r="M66" s="109">
        <v>289860</v>
      </c>
    </row>
    <row r="67" spans="1:13">
      <c r="I67" s="109"/>
      <c r="J67" s="109">
        <v>25346381.800000001</v>
      </c>
      <c r="M67" s="173">
        <f>SUM(M65:M66)</f>
        <v>-2480</v>
      </c>
    </row>
    <row r="68" spans="1:13">
      <c r="I68" s="109"/>
      <c r="J68" s="109">
        <v>24042658.690000001</v>
      </c>
      <c r="M68" s="46"/>
    </row>
    <row r="69" spans="1:13">
      <c r="I69" s="109"/>
      <c r="J69" s="109">
        <f>J67-J68</f>
        <v>1303723.1099999994</v>
      </c>
      <c r="L69" s="109">
        <v>400000</v>
      </c>
      <c r="M69" s="46"/>
    </row>
    <row r="70" spans="1:13">
      <c r="I70" s="109"/>
      <c r="L70" s="109">
        <v>1000000</v>
      </c>
      <c r="M70" s="109">
        <v>25279.7</v>
      </c>
    </row>
    <row r="71" spans="1:13">
      <c r="I71" s="109"/>
      <c r="M71" s="109">
        <v>27759.7</v>
      </c>
    </row>
    <row r="72" spans="1:13">
      <c r="H72" s="109"/>
      <c r="I72" s="109"/>
      <c r="M72" s="173">
        <f>M70-M71</f>
        <v>-2480</v>
      </c>
    </row>
    <row r="73" spans="1:13">
      <c r="H73" s="109">
        <v>4455551.57</v>
      </c>
      <c r="I73" s="109"/>
      <c r="J73" s="109">
        <v>17496381.800000001</v>
      </c>
      <c r="M73" s="46"/>
    </row>
    <row r="74" spans="1:13">
      <c r="H74" s="109">
        <v>5760963.6399999997</v>
      </c>
      <c r="I74" s="109"/>
      <c r="J74" s="109">
        <v>7850000</v>
      </c>
      <c r="M74" s="46"/>
    </row>
    <row r="75" spans="1:13">
      <c r="H75" s="109">
        <f>SUM(H73:H74)</f>
        <v>10216515.210000001</v>
      </c>
      <c r="I75" s="109"/>
      <c r="J75" s="109">
        <f>SUM(J73:J74)</f>
        <v>25346381.800000001</v>
      </c>
      <c r="M75" s="46"/>
    </row>
    <row r="76" spans="1:13" s="109" customFormat="1">
      <c r="A76" s="46"/>
      <c r="B76" s="46"/>
      <c r="C76" s="46"/>
      <c r="D76" s="46"/>
      <c r="E76" s="46"/>
      <c r="F76" s="46"/>
      <c r="G76" s="46"/>
    </row>
    <row r="77" spans="1:13" s="109" customFormat="1">
      <c r="A77" s="46"/>
      <c r="B77" s="46"/>
      <c r="C77" s="46"/>
      <c r="D77" s="46"/>
      <c r="E77" s="46"/>
      <c r="F77" s="46"/>
      <c r="G77" s="46"/>
    </row>
    <row r="78" spans="1:13" s="109" customFormat="1">
      <c r="A78" s="46"/>
      <c r="B78" s="46"/>
      <c r="C78" s="46"/>
      <c r="D78" s="46"/>
      <c r="E78" s="46"/>
      <c r="F78" s="46"/>
      <c r="G78" s="46"/>
    </row>
    <row r="79" spans="1:13" s="109" customFormat="1">
      <c r="A79" s="46"/>
      <c r="B79" s="46"/>
      <c r="C79" s="46"/>
      <c r="D79" s="46"/>
      <c r="E79" s="46"/>
      <c r="F79" s="46"/>
      <c r="G79" s="46"/>
    </row>
    <row r="80" spans="1:13" s="109" customFormat="1">
      <c r="A80" s="46"/>
      <c r="B80" s="46"/>
      <c r="C80" s="46"/>
      <c r="D80" s="46"/>
      <c r="E80" s="46"/>
      <c r="F80" s="46"/>
      <c r="G80" s="46"/>
    </row>
    <row r="81" spans="1:11" s="109" customFormat="1">
      <c r="A81" s="46"/>
      <c r="B81" s="46"/>
      <c r="C81" s="46"/>
      <c r="D81" s="46"/>
      <c r="E81" s="46"/>
      <c r="F81" s="46"/>
      <c r="G81" s="46"/>
    </row>
    <row r="82" spans="1:11" s="109" customFormat="1">
      <c r="A82" s="46"/>
      <c r="B82" s="46"/>
      <c r="C82" s="46"/>
      <c r="D82" s="46"/>
      <c r="E82" s="46"/>
      <c r="F82" s="46"/>
      <c r="G82" s="46"/>
      <c r="H82" s="46"/>
    </row>
    <row r="83" spans="1:11" s="109" customFormat="1">
      <c r="A83" s="46"/>
      <c r="B83" s="46"/>
      <c r="C83" s="46"/>
      <c r="D83" s="46"/>
      <c r="E83" s="46"/>
      <c r="F83" s="46"/>
      <c r="G83" s="46"/>
      <c r="H83" s="46"/>
    </row>
    <row r="84" spans="1:11" s="109" customFormat="1">
      <c r="A84" s="46"/>
      <c r="B84" s="46"/>
      <c r="C84" s="46"/>
      <c r="D84" s="46"/>
      <c r="E84" s="46"/>
      <c r="F84" s="46"/>
      <c r="G84" s="46"/>
      <c r="H84" s="46"/>
    </row>
    <row r="85" spans="1:11" s="109" customFormat="1">
      <c r="A85" s="46"/>
      <c r="B85" s="46"/>
      <c r="C85" s="46"/>
      <c r="D85" s="46"/>
      <c r="E85" s="46"/>
      <c r="F85" s="46"/>
      <c r="G85" s="46"/>
      <c r="H85" s="46"/>
    </row>
    <row r="86" spans="1:11" s="109" customFormat="1">
      <c r="A86" s="46"/>
      <c r="B86" s="46"/>
      <c r="C86" s="46"/>
      <c r="D86" s="46"/>
      <c r="E86" s="46"/>
      <c r="F86" s="46"/>
      <c r="G86" s="46"/>
      <c r="H86" s="46"/>
      <c r="K86" s="46"/>
    </row>
    <row r="87" spans="1:11" s="109" customFormat="1">
      <c r="A87" s="46"/>
      <c r="B87" s="46"/>
      <c r="C87" s="46"/>
      <c r="D87" s="46"/>
      <c r="E87" s="46"/>
      <c r="F87" s="46"/>
      <c r="G87" s="46"/>
      <c r="H87" s="46"/>
      <c r="K87" s="46"/>
    </row>
    <row r="88" spans="1:11" s="109" customFormat="1">
      <c r="A88" s="46"/>
      <c r="B88" s="46"/>
      <c r="C88" s="46"/>
      <c r="D88" s="46"/>
      <c r="E88" s="46"/>
      <c r="F88" s="46"/>
      <c r="G88" s="46"/>
      <c r="H88" s="46"/>
      <c r="K88" s="46"/>
    </row>
    <row r="89" spans="1:11" s="109" customFormat="1">
      <c r="A89" s="46"/>
      <c r="B89" s="46"/>
      <c r="C89" s="46"/>
      <c r="D89" s="46"/>
      <c r="E89" s="46"/>
      <c r="F89" s="46"/>
      <c r="G89" s="46"/>
      <c r="H89" s="46"/>
      <c r="K89" s="46"/>
    </row>
    <row r="90" spans="1:11" s="109" customFormat="1">
      <c r="A90" s="46"/>
      <c r="B90" s="46"/>
      <c r="C90" s="46"/>
      <c r="D90" s="46"/>
      <c r="E90" s="46"/>
      <c r="F90" s="46"/>
      <c r="G90" s="46"/>
      <c r="H90" s="46"/>
      <c r="K90" s="46"/>
    </row>
    <row r="91" spans="1:11" s="109" customFormat="1">
      <c r="A91" s="46"/>
      <c r="B91" s="46"/>
      <c r="C91" s="46"/>
      <c r="D91" s="46"/>
      <c r="E91" s="46"/>
      <c r="F91" s="46"/>
      <c r="G91" s="46"/>
      <c r="H91" s="46"/>
      <c r="K91" s="46"/>
    </row>
    <row r="92" spans="1:11" s="109" customFormat="1">
      <c r="A92" s="46"/>
      <c r="B92" s="46"/>
      <c r="C92" s="46"/>
      <c r="D92" s="46"/>
      <c r="E92" s="46"/>
      <c r="F92" s="46"/>
      <c r="G92" s="46"/>
      <c r="H92" s="46"/>
      <c r="K92" s="46"/>
    </row>
    <row r="93" spans="1:11" s="109" customFormat="1">
      <c r="A93" s="46"/>
      <c r="B93" s="46"/>
      <c r="C93" s="46"/>
      <c r="D93" s="46"/>
      <c r="E93" s="46"/>
      <c r="F93" s="46"/>
      <c r="G93" s="46"/>
      <c r="H93" s="46"/>
      <c r="K93" s="46"/>
    </row>
    <row r="94" spans="1:11" s="109" customFormat="1">
      <c r="A94" s="46"/>
      <c r="B94" s="46"/>
      <c r="C94" s="46"/>
      <c r="D94" s="46"/>
      <c r="E94" s="46"/>
      <c r="F94" s="46"/>
      <c r="G94" s="46"/>
      <c r="H94" s="46"/>
      <c r="K94" s="46"/>
    </row>
    <row r="95" spans="1:11" s="109" customFormat="1">
      <c r="A95" s="46"/>
      <c r="B95" s="46"/>
      <c r="C95" s="46"/>
      <c r="D95" s="46"/>
      <c r="E95" s="46"/>
      <c r="F95" s="46"/>
      <c r="G95" s="46"/>
      <c r="H95" s="46"/>
      <c r="K95" s="46"/>
    </row>
    <row r="96" spans="1:11" s="109" customFormat="1">
      <c r="A96" s="46"/>
      <c r="B96" s="46"/>
      <c r="C96" s="46"/>
      <c r="D96" s="46"/>
      <c r="E96" s="46"/>
      <c r="F96" s="46"/>
      <c r="G96" s="46"/>
      <c r="H96" s="46"/>
      <c r="K96" s="46"/>
    </row>
    <row r="97" spans="1:11" s="109" customFormat="1">
      <c r="A97" s="46"/>
      <c r="B97" s="46"/>
      <c r="C97" s="46"/>
      <c r="D97" s="46"/>
      <c r="E97" s="46"/>
      <c r="F97" s="46"/>
      <c r="G97" s="46"/>
      <c r="H97" s="46"/>
      <c r="K97" s="46"/>
    </row>
    <row r="98" spans="1:11" s="109" customFormat="1">
      <c r="A98" s="46"/>
      <c r="B98" s="46"/>
      <c r="C98" s="46"/>
      <c r="D98" s="46"/>
      <c r="E98" s="46"/>
      <c r="F98" s="46"/>
      <c r="G98" s="46"/>
      <c r="H98" s="46"/>
      <c r="K98" s="46"/>
    </row>
  </sheetData>
  <mergeCells count="3">
    <mergeCell ref="A2:J2"/>
    <mergeCell ref="A3:J3"/>
    <mergeCell ref="A4:J4"/>
  </mergeCells>
  <printOptions horizontalCentered="1"/>
  <pageMargins left="0.02" right="0.15" top="0.39" bottom="0.1" header="0.21" footer="0.1"/>
  <pageSetup scale="84" orientation="portrait" horizontalDpi="4294967294" verticalDpi="30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M98"/>
  <sheetViews>
    <sheetView topLeftCell="A16" workbookViewId="0">
      <selection activeCell="E44" sqref="E44"/>
    </sheetView>
  </sheetViews>
  <sheetFormatPr defaultRowHeight="12.75"/>
  <cols>
    <col min="1" max="1" width="6" style="46" customWidth="1"/>
    <col min="2" max="3" width="9.140625" style="46"/>
    <col min="4" max="4" width="16.5703125" style="46" customWidth="1"/>
    <col min="5" max="6" width="13.85546875" style="46" customWidth="1"/>
    <col min="7" max="7" width="10" style="46" customWidth="1"/>
    <col min="8" max="8" width="11.5703125" style="46" customWidth="1"/>
    <col min="9" max="9" width="11.42578125" style="46" customWidth="1"/>
    <col min="10" max="10" width="13.28515625" style="109" customWidth="1"/>
    <col min="11" max="11" width="15.7109375" style="46" customWidth="1"/>
    <col min="12" max="12" width="16.85546875" style="109" customWidth="1"/>
    <col min="13" max="13" width="17" style="109" customWidth="1"/>
    <col min="14" max="14" width="17" style="46" customWidth="1"/>
    <col min="15" max="16384" width="9.140625" style="46"/>
  </cols>
  <sheetData>
    <row r="1" spans="1:13">
      <c r="A1" s="47"/>
      <c r="B1" s="48"/>
      <c r="C1" s="48"/>
      <c r="D1" s="48"/>
      <c r="E1" s="48"/>
      <c r="F1" s="48"/>
      <c r="G1" s="48"/>
      <c r="H1" s="48"/>
      <c r="I1" s="48"/>
      <c r="J1" s="169" t="s">
        <v>81</v>
      </c>
    </row>
    <row r="2" spans="1:13">
      <c r="A2" s="389" t="s">
        <v>80</v>
      </c>
      <c r="B2" s="390"/>
      <c r="C2" s="390"/>
      <c r="D2" s="390"/>
      <c r="E2" s="390"/>
      <c r="F2" s="390"/>
      <c r="G2" s="390"/>
      <c r="H2" s="390"/>
      <c r="I2" s="390"/>
      <c r="J2" s="391"/>
    </row>
    <row r="3" spans="1:13">
      <c r="A3" s="389" t="s">
        <v>248</v>
      </c>
      <c r="B3" s="390"/>
      <c r="C3" s="390"/>
      <c r="D3" s="390"/>
      <c r="E3" s="390"/>
      <c r="F3" s="390"/>
      <c r="G3" s="390"/>
      <c r="H3" s="390"/>
      <c r="I3" s="390"/>
      <c r="J3" s="391"/>
    </row>
    <row r="4" spans="1:13">
      <c r="A4" s="389"/>
      <c r="B4" s="390"/>
      <c r="C4" s="390"/>
      <c r="D4" s="390"/>
      <c r="E4" s="390"/>
      <c r="F4" s="390"/>
      <c r="G4" s="390"/>
      <c r="H4" s="390"/>
      <c r="I4" s="390"/>
      <c r="J4" s="391"/>
    </row>
    <row r="5" spans="1:13">
      <c r="A5" s="54" t="s">
        <v>77</v>
      </c>
      <c r="B5" s="243"/>
      <c r="C5" s="243"/>
      <c r="D5" s="243"/>
      <c r="E5" s="243"/>
      <c r="F5" s="243"/>
      <c r="G5" s="243"/>
      <c r="H5" s="243"/>
      <c r="I5" s="243"/>
      <c r="J5" s="170"/>
    </row>
    <row r="6" spans="1:13">
      <c r="A6" s="54" t="s">
        <v>76</v>
      </c>
      <c r="B6" s="55"/>
      <c r="C6" s="55"/>
      <c r="D6" s="55"/>
      <c r="E6" s="55"/>
      <c r="F6" s="55"/>
      <c r="G6" s="55"/>
      <c r="H6" s="55"/>
      <c r="I6" s="55"/>
      <c r="J6" s="171"/>
      <c r="K6" s="46" t="s">
        <v>210</v>
      </c>
    </row>
    <row r="7" spans="1:13">
      <c r="A7" s="47"/>
      <c r="B7" s="48"/>
      <c r="C7" s="48"/>
      <c r="D7" s="49"/>
      <c r="E7" s="88" t="s">
        <v>8</v>
      </c>
      <c r="F7" s="50"/>
      <c r="G7" s="52"/>
      <c r="H7" s="52"/>
      <c r="I7" s="53"/>
      <c r="J7" s="110"/>
    </row>
    <row r="8" spans="1:13">
      <c r="A8" s="54"/>
      <c r="B8" s="55"/>
      <c r="C8" s="55"/>
      <c r="D8" s="56"/>
      <c r="E8" s="242" t="s">
        <v>9</v>
      </c>
      <c r="F8" s="53"/>
      <c r="G8" s="59"/>
      <c r="H8" s="59"/>
      <c r="I8" s="58"/>
      <c r="J8" s="111"/>
    </row>
    <row r="9" spans="1:13">
      <c r="A9" s="61" t="s">
        <v>68</v>
      </c>
      <c r="B9" s="55"/>
      <c r="C9" s="55"/>
      <c r="D9" s="56"/>
      <c r="E9" s="242" t="s">
        <v>10</v>
      </c>
      <c r="F9" s="60" t="s">
        <v>12</v>
      </c>
      <c r="G9" s="60" t="s">
        <v>14</v>
      </c>
      <c r="H9" s="60" t="s">
        <v>20</v>
      </c>
      <c r="I9" s="60" t="s">
        <v>22</v>
      </c>
      <c r="J9" s="112" t="s">
        <v>24</v>
      </c>
    </row>
    <row r="10" spans="1:13">
      <c r="A10" s="54"/>
      <c r="B10" s="55"/>
      <c r="C10" s="55"/>
      <c r="D10" s="56"/>
      <c r="E10" s="242" t="s">
        <v>11</v>
      </c>
      <c r="F10" s="60" t="s">
        <v>13</v>
      </c>
      <c r="G10" s="59"/>
      <c r="H10" s="60" t="s">
        <v>21</v>
      </c>
      <c r="I10" s="60" t="s">
        <v>23</v>
      </c>
      <c r="J10" s="111"/>
    </row>
    <row r="11" spans="1:13">
      <c r="A11" s="62"/>
      <c r="B11" s="63"/>
      <c r="C11" s="63"/>
      <c r="D11" s="64"/>
      <c r="E11" s="65">
        <v>0.3</v>
      </c>
      <c r="F11" s="66">
        <v>0.7</v>
      </c>
      <c r="G11" s="59"/>
      <c r="H11" s="67"/>
      <c r="I11" s="68"/>
      <c r="J11" s="113"/>
    </row>
    <row r="12" spans="1:13" ht="18" customHeight="1">
      <c r="A12" s="70" t="s">
        <v>0</v>
      </c>
      <c r="B12" s="71"/>
      <c r="C12" s="71"/>
      <c r="D12" s="72"/>
      <c r="E12" s="51"/>
      <c r="F12" s="51"/>
      <c r="G12" s="51"/>
      <c r="H12" s="51"/>
      <c r="I12" s="51"/>
      <c r="J12" s="110"/>
      <c r="L12" s="118" t="s">
        <v>90</v>
      </c>
      <c r="M12" s="118" t="s">
        <v>89</v>
      </c>
    </row>
    <row r="13" spans="1:13" ht="18" customHeight="1">
      <c r="A13" s="73" t="s">
        <v>1</v>
      </c>
      <c r="B13" s="72"/>
      <c r="C13" s="72"/>
      <c r="D13" s="72"/>
      <c r="E13" s="94">
        <f>M19*0.3</f>
        <v>589261.98944999999</v>
      </c>
      <c r="F13" s="94">
        <f>M19*0.7</f>
        <v>1374944.6420499999</v>
      </c>
      <c r="G13" s="94"/>
      <c r="H13" s="94"/>
      <c r="I13" s="94"/>
      <c r="J13" s="114">
        <f>SUM(E13:I13)</f>
        <v>1964206.6314999999</v>
      </c>
      <c r="K13" s="175" t="e">
        <f>SUM(J13+#REF!+#REF!+#REF!+#REF!+#REF!+#REF!+#REF!+#REF!+#REF!+#REF!+#REF!)</f>
        <v>#REF!</v>
      </c>
      <c r="L13" s="109">
        <v>21367644.399999999</v>
      </c>
      <c r="M13" s="109">
        <v>4171566.4</v>
      </c>
    </row>
    <row r="14" spans="1:13" ht="18" customHeight="1">
      <c r="A14" s="73" t="s">
        <v>2</v>
      </c>
      <c r="B14" s="72"/>
      <c r="C14" s="72"/>
      <c r="D14" s="72"/>
      <c r="E14" s="102"/>
      <c r="F14" s="102"/>
      <c r="G14" s="102"/>
      <c r="H14" s="102"/>
      <c r="I14" s="102"/>
      <c r="J14" s="110">
        <f>SUM(E14:I14)</f>
        <v>0</v>
      </c>
      <c r="K14" s="117" t="s">
        <v>88</v>
      </c>
      <c r="L14" s="109">
        <v>9400000</v>
      </c>
      <c r="M14" s="109">
        <v>5637398.9699999997</v>
      </c>
    </row>
    <row r="15" spans="1:13" ht="18" customHeight="1">
      <c r="A15" s="75" t="s">
        <v>3</v>
      </c>
      <c r="B15" s="48"/>
      <c r="C15" s="48"/>
      <c r="D15" s="48"/>
      <c r="E15" s="102"/>
      <c r="F15" s="102"/>
      <c r="G15" s="102"/>
      <c r="H15" s="102"/>
      <c r="I15" s="102"/>
      <c r="J15" s="110"/>
      <c r="L15" s="116">
        <f>SUM(L13:L14)</f>
        <v>30767644.399999999</v>
      </c>
      <c r="M15" s="116">
        <f>SUM(M13:M14)</f>
        <v>9808965.3699999992</v>
      </c>
    </row>
    <row r="16" spans="1:13" ht="18" customHeight="1">
      <c r="A16" s="76" t="s">
        <v>78</v>
      </c>
      <c r="B16" s="55"/>
      <c r="C16" s="55"/>
      <c r="D16" s="55"/>
      <c r="E16" s="103"/>
      <c r="F16" s="103"/>
      <c r="G16" s="103"/>
      <c r="H16" s="103"/>
      <c r="I16" s="103"/>
      <c r="J16" s="113">
        <f>SUM(E16:I16)</f>
        <v>0</v>
      </c>
      <c r="K16" s="46">
        <v>11930281.960000001</v>
      </c>
    </row>
    <row r="17" spans="1:13" ht="18" customHeight="1">
      <c r="A17" s="77" t="s">
        <v>79</v>
      </c>
      <c r="B17" s="72"/>
      <c r="C17" s="72"/>
      <c r="D17" s="72"/>
      <c r="E17" s="94"/>
      <c r="F17" s="94"/>
      <c r="G17" s="94"/>
      <c r="H17" s="94"/>
      <c r="I17" s="94"/>
      <c r="J17" s="113">
        <f>SUM(E17:I17)</f>
        <v>0</v>
      </c>
      <c r="K17" s="173">
        <f>K16-J16</f>
        <v>11930281.960000001</v>
      </c>
      <c r="M17" s="109">
        <v>25936573.030000001</v>
      </c>
    </row>
    <row r="18" spans="1:13" ht="18" customHeight="1">
      <c r="A18" s="70" t="s">
        <v>7</v>
      </c>
      <c r="B18" s="72"/>
      <c r="C18" s="72"/>
      <c r="D18" s="72"/>
      <c r="E18" s="119">
        <f>SUM(E13:E17)</f>
        <v>589261.98944999999</v>
      </c>
      <c r="F18" s="119">
        <f t="shared" ref="F18:J18" si="0">SUM(F13:F17)</f>
        <v>1374944.6420499999</v>
      </c>
      <c r="G18" s="119">
        <f t="shared" si="0"/>
        <v>0</v>
      </c>
      <c r="H18" s="119">
        <f t="shared" si="0"/>
        <v>0</v>
      </c>
      <c r="I18" s="119">
        <f t="shared" si="0"/>
        <v>0</v>
      </c>
      <c r="J18" s="119">
        <f t="shared" si="0"/>
        <v>1964206.6314999999</v>
      </c>
      <c r="K18" s="166">
        <f t="shared" ref="K18:K44" si="1">SUM(E18:I18)</f>
        <v>1964206.6314999999</v>
      </c>
      <c r="L18" s="193" t="s">
        <v>171</v>
      </c>
      <c r="M18" s="192">
        <f>521756827.69-482472695.06</f>
        <v>39284132.629999995</v>
      </c>
    </row>
    <row r="19" spans="1:13" s="109" customFormat="1" ht="18" customHeight="1">
      <c r="A19" s="74" t="s">
        <v>99</v>
      </c>
      <c r="B19" s="72" t="s">
        <v>100</v>
      </c>
      <c r="C19" s="72"/>
      <c r="D19" s="72"/>
      <c r="E19" s="94">
        <f>SUM('DRRM Funds Aug2015'!E45)</f>
        <v>16507223.625049999</v>
      </c>
      <c r="F19" s="94">
        <f>SUM('DRRM Funds Aug2015'!F45)</f>
        <v>24138300.478449993</v>
      </c>
      <c r="G19" s="94">
        <f>SUM('DRRM Funds Aug2015'!G45)</f>
        <v>0</v>
      </c>
      <c r="H19" s="94">
        <f>SUM('DRRM Funds Aug2015'!H45)</f>
        <v>0</v>
      </c>
      <c r="I19" s="94">
        <f>SUM('DRRM Funds Aug2015'!I45)</f>
        <v>0</v>
      </c>
      <c r="J19" s="94">
        <f>SUM('DRRM Funds Aug2015'!J45)</f>
        <v>40645524.103499994</v>
      </c>
      <c r="K19" s="166">
        <f t="shared" si="1"/>
        <v>40645524.103499994</v>
      </c>
      <c r="L19" s="194">
        <v>0.05</v>
      </c>
      <c r="M19" s="262">
        <f>M18*0.05</f>
        <v>1964206.6314999999</v>
      </c>
    </row>
    <row r="20" spans="1:13" s="109" customFormat="1" ht="18" customHeight="1">
      <c r="A20" s="70" t="s">
        <v>101</v>
      </c>
      <c r="B20" s="122"/>
      <c r="C20" s="72"/>
      <c r="D20" s="72"/>
      <c r="E20" s="119">
        <f>SUM(E18:E19)</f>
        <v>17096485.614499997</v>
      </c>
      <c r="F20" s="119">
        <f t="shared" ref="F20:J20" si="2">SUM(F18:F19)</f>
        <v>25513245.120499991</v>
      </c>
      <c r="G20" s="119">
        <f t="shared" si="2"/>
        <v>0</v>
      </c>
      <c r="H20" s="119">
        <f t="shared" si="2"/>
        <v>0</v>
      </c>
      <c r="I20" s="119">
        <f t="shared" si="2"/>
        <v>0</v>
      </c>
      <c r="J20" s="119">
        <f t="shared" si="2"/>
        <v>42609730.734999992</v>
      </c>
      <c r="K20" s="166">
        <f t="shared" si="1"/>
        <v>42609730.734999985</v>
      </c>
    </row>
    <row r="21" spans="1:13" ht="18" customHeight="1">
      <c r="A21" s="70" t="s">
        <v>15</v>
      </c>
      <c r="B21" s="72"/>
      <c r="C21" s="72"/>
      <c r="D21" s="72"/>
      <c r="E21" s="94"/>
      <c r="F21" s="94"/>
      <c r="G21" s="94"/>
      <c r="H21" s="94"/>
      <c r="I21" s="94"/>
      <c r="J21" s="114"/>
      <c r="K21" s="166">
        <f t="shared" si="1"/>
        <v>0</v>
      </c>
      <c r="M21" s="109">
        <v>26972032.48</v>
      </c>
    </row>
    <row r="22" spans="1:13" ht="18" customHeight="1">
      <c r="A22" s="78" t="s">
        <v>206</v>
      </c>
      <c r="B22" s="72"/>
      <c r="C22" s="72"/>
      <c r="D22" s="72"/>
      <c r="E22" s="94"/>
      <c r="F22" s="94"/>
      <c r="G22" s="94"/>
      <c r="H22" s="94"/>
      <c r="I22" s="94"/>
      <c r="J22" s="114">
        <f>SUM(E22:I22)</f>
        <v>0</v>
      </c>
      <c r="K22" s="166"/>
    </row>
    <row r="23" spans="1:13" ht="18" customHeight="1">
      <c r="A23" s="78" t="s">
        <v>251</v>
      </c>
      <c r="B23" s="72"/>
      <c r="C23" s="72"/>
      <c r="D23" s="72"/>
      <c r="E23" s="94"/>
      <c r="F23" s="94"/>
      <c r="G23" s="94"/>
      <c r="H23" s="94"/>
      <c r="I23" s="94"/>
      <c r="J23" s="114">
        <f t="shared" ref="J23:J41" si="3">SUM(E23:I23)</f>
        <v>0</v>
      </c>
      <c r="K23" s="166">
        <f t="shared" si="1"/>
        <v>0</v>
      </c>
      <c r="L23" s="176">
        <f>518731460.56*0.05</f>
        <v>25936573.028000001</v>
      </c>
      <c r="M23" s="109">
        <v>125607.13</v>
      </c>
    </row>
    <row r="24" spans="1:13" ht="18" customHeight="1">
      <c r="A24" s="78" t="s">
        <v>229</v>
      </c>
      <c r="B24" s="72"/>
      <c r="C24" s="72"/>
      <c r="D24" s="72"/>
      <c r="E24" s="94"/>
      <c r="F24" s="94">
        <v>33550</v>
      </c>
      <c r="G24" s="94"/>
      <c r="H24" s="94"/>
      <c r="I24" s="94"/>
      <c r="J24" s="114">
        <f t="shared" si="3"/>
        <v>33550</v>
      </c>
      <c r="K24" s="166"/>
      <c r="L24" s="228"/>
    </row>
    <row r="25" spans="1:13" ht="18" customHeight="1">
      <c r="A25" s="78" t="s">
        <v>252</v>
      </c>
      <c r="B25" s="72"/>
      <c r="C25" s="72"/>
      <c r="D25" s="72"/>
      <c r="E25" s="94"/>
      <c r="F25" s="94">
        <v>252400</v>
      </c>
      <c r="G25" s="94"/>
      <c r="H25" s="94"/>
      <c r="I25" s="94"/>
      <c r="J25" s="114">
        <f t="shared" si="3"/>
        <v>252400</v>
      </c>
      <c r="K25" s="166">
        <f t="shared" si="1"/>
        <v>252400</v>
      </c>
      <c r="L25" s="109" t="e">
        <f>L23-K13</f>
        <v>#REF!</v>
      </c>
      <c r="M25" s="109">
        <v>510000</v>
      </c>
    </row>
    <row r="26" spans="1:13" ht="18" customHeight="1">
      <c r="A26" s="78" t="s">
        <v>71</v>
      </c>
      <c r="B26" s="72"/>
      <c r="C26" s="72"/>
      <c r="D26" s="72"/>
      <c r="E26" s="94"/>
      <c r="F26" s="94">
        <v>491357.46</v>
      </c>
      <c r="G26" s="94"/>
      <c r="H26" s="94"/>
      <c r="I26" s="94"/>
      <c r="J26" s="114">
        <f t="shared" si="3"/>
        <v>491357.46</v>
      </c>
      <c r="K26" s="166">
        <f t="shared" si="1"/>
        <v>491357.46</v>
      </c>
      <c r="M26" s="109">
        <v>1430000</v>
      </c>
    </row>
    <row r="27" spans="1:13" ht="18" customHeight="1">
      <c r="A27" s="79" t="s">
        <v>91</v>
      </c>
      <c r="B27" s="72"/>
      <c r="C27" s="72"/>
      <c r="D27" s="72"/>
      <c r="E27" s="94"/>
      <c r="F27" s="94">
        <v>8000</v>
      </c>
      <c r="G27" s="94"/>
      <c r="H27" s="94"/>
      <c r="I27" s="94"/>
      <c r="J27" s="114">
        <f t="shared" si="3"/>
        <v>8000</v>
      </c>
      <c r="K27" s="166">
        <f t="shared" si="1"/>
        <v>8000</v>
      </c>
      <c r="M27" s="109">
        <v>4285413.1100000003</v>
      </c>
    </row>
    <row r="28" spans="1:13" ht="18" customHeight="1">
      <c r="A28" s="78" t="s">
        <v>17</v>
      </c>
      <c r="B28" s="72"/>
      <c r="C28" s="72"/>
      <c r="D28" s="72"/>
      <c r="E28" s="94"/>
      <c r="F28" s="94"/>
      <c r="G28" s="94"/>
      <c r="H28" s="94"/>
      <c r="I28" s="94"/>
      <c r="J28" s="114">
        <f t="shared" si="3"/>
        <v>0</v>
      </c>
      <c r="K28" s="166">
        <f t="shared" si="1"/>
        <v>0</v>
      </c>
      <c r="M28" s="109">
        <v>3777930</v>
      </c>
    </row>
    <row r="29" spans="1:13" ht="18" customHeight="1">
      <c r="A29" s="78" t="s">
        <v>227</v>
      </c>
      <c r="B29" s="72"/>
      <c r="C29" s="72"/>
      <c r="D29" s="72"/>
      <c r="E29" s="94"/>
      <c r="F29" s="94">
        <v>99000</v>
      </c>
      <c r="G29" s="94"/>
      <c r="H29" s="94"/>
      <c r="I29" s="94"/>
      <c r="J29" s="114">
        <f t="shared" si="3"/>
        <v>99000</v>
      </c>
      <c r="K29" s="166">
        <f t="shared" si="1"/>
        <v>99000</v>
      </c>
      <c r="L29" s="118" t="s">
        <v>162</v>
      </c>
      <c r="M29" s="109">
        <v>100</v>
      </c>
    </row>
    <row r="30" spans="1:13" ht="18" customHeight="1">
      <c r="A30" s="78" t="s">
        <v>213</v>
      </c>
      <c r="B30" s="72"/>
      <c r="C30" s="72"/>
      <c r="D30" s="72"/>
      <c r="E30" s="94"/>
      <c r="F30" s="94">
        <v>43000</v>
      </c>
      <c r="G30" s="94"/>
      <c r="H30" s="94"/>
      <c r="I30" s="94"/>
      <c r="J30" s="114">
        <f t="shared" si="3"/>
        <v>43000</v>
      </c>
      <c r="K30" s="166"/>
      <c r="L30" s="118"/>
      <c r="M30" s="109">
        <f>SUM(M23:M29)</f>
        <v>10129050.24</v>
      </c>
    </row>
    <row r="31" spans="1:13" ht="18" customHeight="1">
      <c r="A31" s="78" t="s">
        <v>250</v>
      </c>
      <c r="B31" s="72"/>
      <c r="C31" s="72"/>
      <c r="D31" s="72"/>
      <c r="E31" s="94"/>
      <c r="F31" s="94">
        <v>98865</v>
      </c>
      <c r="G31" s="94"/>
      <c r="H31" s="94"/>
      <c r="I31" s="94"/>
      <c r="J31" s="114">
        <f t="shared" si="3"/>
        <v>98865</v>
      </c>
      <c r="K31" s="166"/>
      <c r="L31" s="118"/>
    </row>
    <row r="32" spans="1:13" ht="18" customHeight="1">
      <c r="A32" s="78" t="s">
        <v>214</v>
      </c>
      <c r="B32" s="72"/>
      <c r="C32" s="72"/>
      <c r="D32" s="72"/>
      <c r="E32" s="94"/>
      <c r="F32" s="94">
        <v>182200</v>
      </c>
      <c r="G32" s="94"/>
      <c r="H32" s="94"/>
      <c r="I32" s="94"/>
      <c r="J32" s="114">
        <f t="shared" si="3"/>
        <v>182200</v>
      </c>
      <c r="K32" s="227" t="s">
        <v>226</v>
      </c>
      <c r="L32" s="118"/>
    </row>
    <row r="33" spans="1:13" ht="18" customHeight="1">
      <c r="A33" s="78" t="s">
        <v>249</v>
      </c>
      <c r="B33" s="72"/>
      <c r="C33" s="72"/>
      <c r="D33" s="72"/>
      <c r="E33" s="94"/>
      <c r="F33" s="94">
        <v>144359.65</v>
      </c>
      <c r="G33" s="94"/>
      <c r="H33" s="94"/>
      <c r="I33" s="94"/>
      <c r="J33" s="114">
        <f t="shared" si="3"/>
        <v>144359.65</v>
      </c>
      <c r="K33" s="227"/>
      <c r="L33" s="118"/>
    </row>
    <row r="34" spans="1:13" ht="18" customHeight="1">
      <c r="A34" s="78" t="s">
        <v>102</v>
      </c>
      <c r="B34" s="72"/>
      <c r="C34" s="72"/>
      <c r="D34" s="72"/>
      <c r="E34" s="94"/>
      <c r="F34" s="94"/>
      <c r="G34" s="94"/>
      <c r="H34" s="94"/>
      <c r="I34" s="94"/>
      <c r="J34" s="114">
        <f t="shared" si="3"/>
        <v>0</v>
      </c>
      <c r="K34" s="226">
        <f t="shared" si="1"/>
        <v>0</v>
      </c>
      <c r="L34" s="109">
        <f>SUM(F29:F34)</f>
        <v>567424.65</v>
      </c>
    </row>
    <row r="35" spans="1:13" ht="18" customHeight="1">
      <c r="A35" s="78" t="s">
        <v>19</v>
      </c>
      <c r="B35" s="72"/>
      <c r="C35" s="72"/>
      <c r="D35" s="72"/>
      <c r="E35" s="94"/>
      <c r="F35" s="94"/>
      <c r="G35" s="94"/>
      <c r="H35" s="94"/>
      <c r="I35" s="94"/>
      <c r="J35" s="114">
        <f t="shared" si="3"/>
        <v>0</v>
      </c>
      <c r="K35" s="166">
        <f t="shared" si="1"/>
        <v>0</v>
      </c>
      <c r="L35" s="109">
        <v>147060</v>
      </c>
    </row>
    <row r="36" spans="1:13" ht="18" customHeight="1">
      <c r="A36" s="78" t="s">
        <v>168</v>
      </c>
      <c r="B36" s="72"/>
      <c r="C36" s="72"/>
      <c r="D36" s="72"/>
      <c r="E36" s="94"/>
      <c r="F36" s="94"/>
      <c r="G36" s="94"/>
      <c r="H36" s="94"/>
      <c r="I36" s="94"/>
      <c r="J36" s="114">
        <f t="shared" si="3"/>
        <v>0</v>
      </c>
      <c r="K36" s="166">
        <f t="shared" si="1"/>
        <v>0</v>
      </c>
    </row>
    <row r="37" spans="1:13" ht="18" customHeight="1">
      <c r="A37" s="78" t="s">
        <v>208</v>
      </c>
      <c r="B37" s="72"/>
      <c r="C37" s="72"/>
      <c r="D37" s="72"/>
      <c r="E37" s="94"/>
      <c r="F37" s="94"/>
      <c r="G37" s="94"/>
      <c r="H37" s="94"/>
      <c r="I37" s="94"/>
      <c r="J37" s="114">
        <f t="shared" si="3"/>
        <v>0</v>
      </c>
      <c r="K37" s="166">
        <f t="shared" si="1"/>
        <v>0</v>
      </c>
      <c r="L37" s="109">
        <v>1555500</v>
      </c>
    </row>
    <row r="38" spans="1:13" ht="18" customHeight="1">
      <c r="A38" s="78" t="s">
        <v>207</v>
      </c>
      <c r="B38" s="72"/>
      <c r="C38" s="72"/>
      <c r="D38" s="72"/>
      <c r="E38" s="94"/>
      <c r="F38" s="94">
        <v>44256.5</v>
      </c>
      <c r="G38" s="94"/>
      <c r="H38" s="94"/>
      <c r="I38" s="94"/>
      <c r="J38" s="114">
        <f>SUM(E38:I38)</f>
        <v>44256.5</v>
      </c>
      <c r="K38" s="166"/>
    </row>
    <row r="39" spans="1:13" ht="18" customHeight="1">
      <c r="A39" s="79" t="s">
        <v>94</v>
      </c>
      <c r="B39" s="72"/>
      <c r="C39" s="72"/>
      <c r="D39" s="72"/>
      <c r="E39" s="94"/>
      <c r="F39" s="94"/>
      <c r="G39" s="94"/>
      <c r="H39" s="94"/>
      <c r="I39" s="94"/>
      <c r="J39" s="114">
        <f t="shared" si="3"/>
        <v>0</v>
      </c>
      <c r="K39" s="166">
        <f t="shared" si="1"/>
        <v>0</v>
      </c>
      <c r="L39" s="109">
        <v>177000</v>
      </c>
    </row>
    <row r="40" spans="1:13" ht="18" customHeight="1">
      <c r="A40" s="79" t="s">
        <v>95</v>
      </c>
      <c r="B40" s="72"/>
      <c r="C40" s="72"/>
      <c r="D40" s="72"/>
      <c r="E40" s="94"/>
      <c r="F40" s="94"/>
      <c r="G40" s="94"/>
      <c r="H40" s="94"/>
      <c r="I40" s="94"/>
      <c r="J40" s="114">
        <f t="shared" si="3"/>
        <v>0</v>
      </c>
      <c r="K40" s="166">
        <f t="shared" si="1"/>
        <v>0</v>
      </c>
      <c r="L40" s="109">
        <v>204055</v>
      </c>
    </row>
    <row r="41" spans="1:13" ht="18" customHeight="1">
      <c r="A41" s="78" t="s">
        <v>96</v>
      </c>
      <c r="B41" s="72"/>
      <c r="C41" s="72"/>
      <c r="D41" s="72"/>
      <c r="E41" s="94"/>
      <c r="F41" s="94"/>
      <c r="G41" s="94"/>
      <c r="H41" s="94"/>
      <c r="I41" s="94"/>
      <c r="J41" s="114">
        <f t="shared" si="3"/>
        <v>0</v>
      </c>
      <c r="K41" s="166">
        <f t="shared" si="1"/>
        <v>0</v>
      </c>
      <c r="L41" s="109">
        <v>71070</v>
      </c>
    </row>
    <row r="42" spans="1:13" ht="18" customHeight="1">
      <c r="A42" s="84" t="s">
        <v>92</v>
      </c>
      <c r="B42" s="63"/>
      <c r="C42" s="63"/>
      <c r="D42" s="63"/>
      <c r="E42" s="94">
        <f t="shared" ref="E42:J42" si="4">SUM(E22:E41)</f>
        <v>0</v>
      </c>
      <c r="F42" s="94">
        <f t="shared" si="4"/>
        <v>1396988.6099999999</v>
      </c>
      <c r="G42" s="94">
        <f t="shared" si="4"/>
        <v>0</v>
      </c>
      <c r="H42" s="94">
        <f t="shared" si="4"/>
        <v>0</v>
      </c>
      <c r="I42" s="94">
        <f t="shared" si="4"/>
        <v>0</v>
      </c>
      <c r="J42" s="94">
        <f t="shared" si="4"/>
        <v>1396988.6099999999</v>
      </c>
      <c r="K42" s="166">
        <f t="shared" si="1"/>
        <v>1396988.6099999999</v>
      </c>
      <c r="L42" s="109">
        <v>27800</v>
      </c>
      <c r="M42" s="46"/>
    </row>
    <row r="43" spans="1:13" ht="18" customHeight="1">
      <c r="A43" s="84" t="s">
        <v>103</v>
      </c>
      <c r="B43" s="63"/>
      <c r="C43" s="63"/>
      <c r="D43" s="63"/>
      <c r="E43" s="103">
        <f>SUM('DRRM Funds Aug2015'!E44)</f>
        <v>0</v>
      </c>
      <c r="F43" s="103">
        <f>SUM('DRRM Funds Aug2015'!F44)</f>
        <v>14775091.709999999</v>
      </c>
      <c r="G43" s="103">
        <f>SUM('DRRM Funds Aug2015'!G44)</f>
        <v>0</v>
      </c>
      <c r="H43" s="103">
        <f>SUM('DRRM Funds Aug2015'!H44)</f>
        <v>0</v>
      </c>
      <c r="I43" s="103">
        <f>SUM('DRRM Funds Aug2015'!I44)</f>
        <v>0</v>
      </c>
      <c r="J43" s="103">
        <f>SUM('DRRM Funds Aug2015'!J44)</f>
        <v>14775091.709999999</v>
      </c>
      <c r="K43" s="166">
        <f t="shared" si="1"/>
        <v>14775091.709999999</v>
      </c>
      <c r="L43" s="109">
        <v>126865</v>
      </c>
      <c r="M43" s="109">
        <f>SUM(E43:H43)</f>
        <v>14775091.709999999</v>
      </c>
    </row>
    <row r="44" spans="1:13" ht="18" customHeight="1">
      <c r="A44" s="84" t="s">
        <v>104</v>
      </c>
      <c r="B44" s="63"/>
      <c r="C44" s="63"/>
      <c r="D44" s="63"/>
      <c r="E44" s="103">
        <f>SUM(E42:E43)</f>
        <v>0</v>
      </c>
      <c r="F44" s="103">
        <f>SUM(F42:F43)</f>
        <v>16172080.319999998</v>
      </c>
      <c r="G44" s="103">
        <f t="shared" ref="G44:J44" si="5">SUM(G42:G43)</f>
        <v>0</v>
      </c>
      <c r="H44" s="103">
        <f t="shared" si="5"/>
        <v>0</v>
      </c>
      <c r="I44" s="103">
        <f t="shared" si="5"/>
        <v>0</v>
      </c>
      <c r="J44" s="103">
        <f t="shared" si="5"/>
        <v>16172080.319999998</v>
      </c>
      <c r="K44" s="166">
        <f t="shared" si="1"/>
        <v>16172080.319999998</v>
      </c>
      <c r="L44" s="174">
        <f>SUM(L34:L43)</f>
        <v>2876774.65</v>
      </c>
      <c r="M44" s="109">
        <v>10492358.970000001</v>
      </c>
    </row>
    <row r="45" spans="1:13" ht="18" customHeight="1">
      <c r="A45" s="70" t="s">
        <v>93</v>
      </c>
      <c r="B45" s="72"/>
      <c r="C45" s="72"/>
      <c r="D45" s="80"/>
      <c r="E45" s="231">
        <f t="shared" ref="E45:J45" si="6">E20-E42</f>
        <v>17096485.614499997</v>
      </c>
      <c r="F45" s="231">
        <f t="shared" si="6"/>
        <v>24116256.510499991</v>
      </c>
      <c r="G45" s="231">
        <f t="shared" si="6"/>
        <v>0</v>
      </c>
      <c r="H45" s="231">
        <f t="shared" si="6"/>
        <v>0</v>
      </c>
      <c r="I45" s="231">
        <f t="shared" si="6"/>
        <v>0</v>
      </c>
      <c r="J45" s="231">
        <f t="shared" si="6"/>
        <v>41212742.124999993</v>
      </c>
      <c r="K45" s="166">
        <f>SUM(E45:I45)</f>
        <v>41212742.124999985</v>
      </c>
      <c r="L45" s="46"/>
      <c r="M45" s="109">
        <f>M44-L44</f>
        <v>7615584.3200000003</v>
      </c>
    </row>
    <row r="46" spans="1:13" ht="18" customHeight="1">
      <c r="A46" s="55"/>
      <c r="B46" s="55"/>
      <c r="C46" s="55"/>
      <c r="D46" s="55"/>
      <c r="E46" s="55"/>
      <c r="F46" s="55"/>
      <c r="G46" s="55"/>
      <c r="H46" s="55"/>
      <c r="I46" s="55"/>
      <c r="J46" s="115" t="s">
        <v>74</v>
      </c>
      <c r="K46" s="92">
        <f>SUM(E45:F45)</f>
        <v>41212742.124999985</v>
      </c>
      <c r="M46" s="109">
        <v>0</v>
      </c>
    </row>
    <row r="47" spans="1:13">
      <c r="A47" s="55" t="s">
        <v>83</v>
      </c>
      <c r="B47" s="55"/>
      <c r="C47" s="55"/>
      <c r="D47" s="55"/>
      <c r="E47" s="55"/>
      <c r="F47" s="55"/>
      <c r="G47" s="55"/>
      <c r="H47" s="55" t="s">
        <v>29</v>
      </c>
      <c r="I47" s="55"/>
      <c r="J47" s="115"/>
      <c r="K47" s="55"/>
      <c r="L47" s="109">
        <v>752760</v>
      </c>
    </row>
    <row r="48" spans="1:13">
      <c r="A48" s="55"/>
      <c r="B48" s="55"/>
      <c r="C48" s="55"/>
      <c r="D48" s="55"/>
      <c r="E48" s="55"/>
      <c r="F48" s="55"/>
      <c r="G48" s="55"/>
      <c r="H48" s="55"/>
      <c r="I48" s="55"/>
      <c r="J48" s="115"/>
      <c r="K48" s="55"/>
      <c r="L48" s="109">
        <v>902075</v>
      </c>
    </row>
    <row r="49" spans="1:13">
      <c r="A49" s="82" t="s">
        <v>202</v>
      </c>
      <c r="B49" s="55"/>
      <c r="C49" s="55"/>
      <c r="D49" s="55"/>
      <c r="E49" s="55"/>
      <c r="F49" s="55"/>
      <c r="G49" s="55"/>
      <c r="H49" s="241" t="s">
        <v>194</v>
      </c>
      <c r="I49" s="55"/>
      <c r="J49" s="115"/>
      <c r="K49" s="55"/>
      <c r="L49" s="109">
        <v>504234.65</v>
      </c>
      <c r="M49" s="109">
        <v>8736531.7100000009</v>
      </c>
    </row>
    <row r="50" spans="1:13">
      <c r="A50" s="140" t="s">
        <v>203</v>
      </c>
      <c r="B50" s="55"/>
      <c r="C50" s="55"/>
      <c r="D50" s="55"/>
      <c r="E50" s="55"/>
      <c r="F50" s="55"/>
      <c r="G50" s="55"/>
      <c r="H50" s="140" t="s">
        <v>195</v>
      </c>
      <c r="I50" s="55"/>
      <c r="J50" s="115"/>
      <c r="K50" s="55"/>
      <c r="L50" s="109">
        <v>899145</v>
      </c>
      <c r="M50" s="109">
        <v>10140</v>
      </c>
    </row>
    <row r="51" spans="1:13">
      <c r="A51" s="55"/>
      <c r="B51" s="55"/>
      <c r="C51" s="55"/>
      <c r="D51" s="55"/>
      <c r="E51" s="121" t="s">
        <v>237</v>
      </c>
      <c r="F51" s="55"/>
      <c r="G51" s="55"/>
      <c r="H51" s="55"/>
      <c r="I51" s="55"/>
      <c r="J51" s="115"/>
      <c r="K51" s="55"/>
      <c r="L51" s="109">
        <v>1087927.3999999999</v>
      </c>
      <c r="M51" s="109">
        <f>SUM(M49:M50)</f>
        <v>8746671.7100000009</v>
      </c>
    </row>
    <row r="52" spans="1:13">
      <c r="A52" s="55"/>
      <c r="B52" s="55"/>
      <c r="C52" s="55"/>
      <c r="D52" s="55"/>
      <c r="E52" s="115"/>
      <c r="F52" s="55"/>
      <c r="G52" s="55"/>
      <c r="H52" s="55"/>
      <c r="I52" s="115"/>
      <c r="J52" s="115"/>
      <c r="K52" s="55"/>
      <c r="L52" s="109">
        <v>2896515.5</v>
      </c>
    </row>
    <row r="53" spans="1:13">
      <c r="A53" s="55"/>
      <c r="B53" s="55"/>
      <c r="C53" s="55"/>
      <c r="D53" s="55"/>
      <c r="E53" s="82" t="s">
        <v>149</v>
      </c>
      <c r="F53" s="55"/>
      <c r="G53" s="55"/>
      <c r="H53" s="55"/>
      <c r="I53" s="115"/>
      <c r="J53" s="115"/>
      <c r="K53" s="55"/>
    </row>
    <row r="54" spans="1:13">
      <c r="A54" s="55"/>
      <c r="B54" s="55"/>
      <c r="C54" s="55"/>
      <c r="D54" s="55"/>
      <c r="E54" s="55" t="s">
        <v>238</v>
      </c>
      <c r="F54" s="55"/>
      <c r="G54" s="55"/>
      <c r="H54" s="55"/>
      <c r="I54" s="115"/>
      <c r="J54" s="115"/>
      <c r="K54" s="55"/>
      <c r="L54" s="109">
        <v>120000</v>
      </c>
    </row>
    <row r="55" spans="1:13">
      <c r="I55" s="109"/>
      <c r="M55" s="46"/>
    </row>
    <row r="56" spans="1:13">
      <c r="F56" s="121">
        <f>F18-F57</f>
        <v>-800209.65794999991</v>
      </c>
      <c r="I56" s="109"/>
      <c r="K56" s="55"/>
      <c r="L56" s="115">
        <v>630000</v>
      </c>
      <c r="M56" s="183">
        <v>10644424.82</v>
      </c>
    </row>
    <row r="57" spans="1:13">
      <c r="F57" s="115">
        <f>49980+103610+255752.8+265335+81917.75+32889+315132+287135.25+143400+640002.5</f>
        <v>2175154.2999999998</v>
      </c>
      <c r="I57" s="109"/>
      <c r="J57" s="109">
        <v>7850000</v>
      </c>
      <c r="L57" s="109">
        <v>1000000</v>
      </c>
      <c r="M57" s="183">
        <v>13157941.960000001</v>
      </c>
    </row>
    <row r="58" spans="1:13">
      <c r="I58" s="109"/>
      <c r="J58" s="109">
        <v>800000</v>
      </c>
      <c r="L58" s="109">
        <v>1300000</v>
      </c>
      <c r="M58" s="184">
        <v>0</v>
      </c>
    </row>
    <row r="59" spans="1:13">
      <c r="I59" s="109"/>
      <c r="J59" s="109">
        <v>1200000</v>
      </c>
      <c r="L59" s="109">
        <v>2000000</v>
      </c>
      <c r="M59" s="183">
        <f>SUM(M56:M58)</f>
        <v>23802366.780000001</v>
      </c>
    </row>
    <row r="60" spans="1:13">
      <c r="I60" s="109"/>
      <c r="J60" s="109">
        <v>3500000</v>
      </c>
      <c r="L60" s="109">
        <v>150000</v>
      </c>
      <c r="M60" s="183">
        <v>24092226.780000001</v>
      </c>
    </row>
    <row r="61" spans="1:13">
      <c r="I61" s="109">
        <v>100000</v>
      </c>
      <c r="J61" s="116">
        <f>SUM(J57:J60)</f>
        <v>13350000</v>
      </c>
      <c r="L61" s="109">
        <v>4590281.96</v>
      </c>
      <c r="M61" s="183">
        <f>M60-M59</f>
        <v>289860</v>
      </c>
    </row>
    <row r="62" spans="1:13">
      <c r="I62" s="109">
        <v>4589687.1100000003</v>
      </c>
      <c r="J62" s="109">
        <v>16829861.079999998</v>
      </c>
      <c r="L62" s="109">
        <f>SUM(L56:L61)</f>
        <v>9670281.9600000009</v>
      </c>
      <c r="M62" s="46"/>
    </row>
    <row r="63" spans="1:13">
      <c r="I63" s="116">
        <f>SUM(I57:I62)</f>
        <v>4689687.1100000003</v>
      </c>
      <c r="J63" s="109">
        <f>J61-J62</f>
        <v>-3479861.0799999982</v>
      </c>
      <c r="M63" s="109">
        <v>24416573.030000001</v>
      </c>
    </row>
    <row r="64" spans="1:13">
      <c r="I64" s="109">
        <v>7212797.6100000003</v>
      </c>
      <c r="M64" s="109">
        <v>24708913.030000001</v>
      </c>
    </row>
    <row r="65" spans="1:13">
      <c r="I65" s="109">
        <f>I63-I64</f>
        <v>-2523110.5</v>
      </c>
      <c r="M65" s="109">
        <f>M63-M64</f>
        <v>-292340</v>
      </c>
    </row>
    <row r="66" spans="1:13">
      <c r="I66" s="109"/>
      <c r="M66" s="109">
        <v>289860</v>
      </c>
    </row>
    <row r="67" spans="1:13">
      <c r="I67" s="109"/>
      <c r="J67" s="109">
        <v>25346381.800000001</v>
      </c>
      <c r="M67" s="173">
        <f>SUM(M65:M66)</f>
        <v>-2480</v>
      </c>
    </row>
    <row r="68" spans="1:13">
      <c r="I68" s="109"/>
      <c r="J68" s="109">
        <v>24042658.690000001</v>
      </c>
      <c r="M68" s="46"/>
    </row>
    <row r="69" spans="1:13">
      <c r="I69" s="109"/>
      <c r="J69" s="109">
        <f>J67-J68</f>
        <v>1303723.1099999994</v>
      </c>
      <c r="L69" s="109">
        <v>400000</v>
      </c>
      <c r="M69" s="46"/>
    </row>
    <row r="70" spans="1:13">
      <c r="I70" s="109"/>
      <c r="L70" s="109">
        <v>1000000</v>
      </c>
      <c r="M70" s="109">
        <v>25279.7</v>
      </c>
    </row>
    <row r="71" spans="1:13">
      <c r="I71" s="109"/>
      <c r="M71" s="109">
        <v>27759.7</v>
      </c>
    </row>
    <row r="72" spans="1:13">
      <c r="H72" s="109"/>
      <c r="I72" s="109"/>
      <c r="M72" s="173">
        <f>M70-M71</f>
        <v>-2480</v>
      </c>
    </row>
    <row r="73" spans="1:13">
      <c r="H73" s="109">
        <v>4455551.57</v>
      </c>
      <c r="I73" s="109"/>
      <c r="J73" s="109">
        <v>17496381.800000001</v>
      </c>
      <c r="M73" s="46"/>
    </row>
    <row r="74" spans="1:13">
      <c r="H74" s="109">
        <v>5760963.6399999997</v>
      </c>
      <c r="I74" s="109"/>
      <c r="J74" s="109">
        <v>7850000</v>
      </c>
      <c r="M74" s="46"/>
    </row>
    <row r="75" spans="1:13">
      <c r="H75" s="109">
        <f>SUM(H73:H74)</f>
        <v>10216515.210000001</v>
      </c>
      <c r="I75" s="109"/>
      <c r="J75" s="109">
        <f>SUM(J73:J74)</f>
        <v>25346381.800000001</v>
      </c>
      <c r="M75" s="46"/>
    </row>
    <row r="76" spans="1:13" s="109" customFormat="1">
      <c r="A76" s="46"/>
      <c r="B76" s="46"/>
      <c r="C76" s="46"/>
      <c r="D76" s="46"/>
      <c r="E76" s="46"/>
      <c r="F76" s="46"/>
      <c r="G76" s="46"/>
    </row>
    <row r="77" spans="1:13" s="109" customFormat="1">
      <c r="A77" s="46"/>
      <c r="B77" s="46"/>
      <c r="C77" s="46"/>
      <c r="D77" s="46"/>
      <c r="E77" s="46"/>
      <c r="F77" s="46"/>
      <c r="G77" s="46"/>
    </row>
    <row r="78" spans="1:13" s="109" customFormat="1">
      <c r="A78" s="46"/>
      <c r="B78" s="46"/>
      <c r="C78" s="46"/>
      <c r="D78" s="46"/>
      <c r="E78" s="46"/>
      <c r="F78" s="46"/>
      <c r="G78" s="46"/>
    </row>
    <row r="79" spans="1:13" s="109" customFormat="1">
      <c r="A79" s="46"/>
      <c r="B79" s="46"/>
      <c r="C79" s="46"/>
      <c r="D79" s="46"/>
      <c r="E79" s="46"/>
      <c r="F79" s="46"/>
      <c r="G79" s="46"/>
    </row>
    <row r="80" spans="1:13" s="109" customFormat="1">
      <c r="A80" s="46"/>
      <c r="B80" s="46"/>
      <c r="C80" s="46"/>
      <c r="D80" s="46"/>
      <c r="E80" s="46"/>
      <c r="F80" s="46"/>
      <c r="G80" s="46"/>
    </row>
    <row r="81" spans="1:11" s="109" customFormat="1">
      <c r="A81" s="46"/>
      <c r="B81" s="46"/>
      <c r="C81" s="46"/>
      <c r="D81" s="46"/>
      <c r="E81" s="46"/>
      <c r="F81" s="46"/>
      <c r="G81" s="46"/>
    </row>
    <row r="82" spans="1:11" s="109" customFormat="1">
      <c r="A82" s="46"/>
      <c r="B82" s="46"/>
      <c r="C82" s="46"/>
      <c r="D82" s="46"/>
      <c r="E82" s="46"/>
      <c r="F82" s="46"/>
      <c r="G82" s="46"/>
      <c r="H82" s="46"/>
    </row>
    <row r="83" spans="1:11" s="109" customFormat="1">
      <c r="A83" s="46"/>
      <c r="B83" s="46"/>
      <c r="C83" s="46"/>
      <c r="D83" s="46"/>
      <c r="E83" s="46"/>
      <c r="F83" s="46"/>
      <c r="G83" s="46"/>
      <c r="H83" s="46"/>
    </row>
    <row r="84" spans="1:11" s="109" customFormat="1">
      <c r="A84" s="46"/>
      <c r="B84" s="46"/>
      <c r="C84" s="46"/>
      <c r="D84" s="46"/>
      <c r="E84" s="46"/>
      <c r="F84" s="46"/>
      <c r="G84" s="46"/>
      <c r="H84" s="46"/>
    </row>
    <row r="85" spans="1:11" s="109" customFormat="1">
      <c r="A85" s="46"/>
      <c r="B85" s="46"/>
      <c r="C85" s="46"/>
      <c r="D85" s="46"/>
      <c r="E85" s="46"/>
      <c r="F85" s="46"/>
      <c r="G85" s="46"/>
      <c r="H85" s="46"/>
    </row>
    <row r="86" spans="1:11" s="109" customFormat="1">
      <c r="A86" s="46"/>
      <c r="B86" s="46"/>
      <c r="C86" s="46"/>
      <c r="D86" s="46"/>
      <c r="E86" s="46"/>
      <c r="F86" s="46"/>
      <c r="G86" s="46"/>
      <c r="H86" s="46"/>
      <c r="K86" s="46"/>
    </row>
    <row r="87" spans="1:11" s="109" customFormat="1">
      <c r="A87" s="46"/>
      <c r="B87" s="46"/>
      <c r="C87" s="46"/>
      <c r="D87" s="46"/>
      <c r="E87" s="46"/>
      <c r="F87" s="46"/>
      <c r="G87" s="46"/>
      <c r="H87" s="46"/>
      <c r="K87" s="46"/>
    </row>
    <row r="88" spans="1:11" s="109" customFormat="1">
      <c r="A88" s="46"/>
      <c r="B88" s="46"/>
      <c r="C88" s="46"/>
      <c r="D88" s="46"/>
      <c r="E88" s="46"/>
      <c r="F88" s="46"/>
      <c r="G88" s="46"/>
      <c r="H88" s="46"/>
      <c r="K88" s="46"/>
    </row>
    <row r="89" spans="1:11" s="109" customFormat="1">
      <c r="A89" s="46"/>
      <c r="B89" s="46"/>
      <c r="C89" s="46"/>
      <c r="D89" s="46"/>
      <c r="E89" s="46"/>
      <c r="F89" s="46"/>
      <c r="G89" s="46"/>
      <c r="H89" s="46"/>
      <c r="K89" s="46"/>
    </row>
    <row r="90" spans="1:11" s="109" customFormat="1">
      <c r="A90" s="46"/>
      <c r="B90" s="46"/>
      <c r="C90" s="46"/>
      <c r="D90" s="46"/>
      <c r="E90" s="46"/>
      <c r="F90" s="46"/>
      <c r="G90" s="46"/>
      <c r="H90" s="46"/>
      <c r="K90" s="46"/>
    </row>
    <row r="91" spans="1:11" s="109" customFormat="1">
      <c r="A91" s="46"/>
      <c r="B91" s="46"/>
      <c r="C91" s="46"/>
      <c r="D91" s="46"/>
      <c r="E91" s="46"/>
      <c r="F91" s="46"/>
      <c r="G91" s="46"/>
      <c r="H91" s="46"/>
      <c r="K91" s="46"/>
    </row>
    <row r="92" spans="1:11" s="109" customFormat="1">
      <c r="A92" s="46"/>
      <c r="B92" s="46"/>
      <c r="C92" s="46"/>
      <c r="D92" s="46"/>
      <c r="E92" s="46"/>
      <c r="F92" s="46"/>
      <c r="G92" s="46"/>
      <c r="H92" s="46"/>
      <c r="K92" s="46"/>
    </row>
    <row r="93" spans="1:11" s="109" customFormat="1">
      <c r="A93" s="46"/>
      <c r="B93" s="46"/>
      <c r="C93" s="46"/>
      <c r="D93" s="46"/>
      <c r="E93" s="46"/>
      <c r="F93" s="46"/>
      <c r="G93" s="46"/>
      <c r="H93" s="46"/>
      <c r="K93" s="46"/>
    </row>
    <row r="94" spans="1:11" s="109" customFormat="1">
      <c r="A94" s="46"/>
      <c r="B94" s="46"/>
      <c r="C94" s="46"/>
      <c r="D94" s="46"/>
      <c r="E94" s="46"/>
      <c r="F94" s="46"/>
      <c r="G94" s="46"/>
      <c r="H94" s="46"/>
      <c r="K94" s="46"/>
    </row>
    <row r="95" spans="1:11" s="109" customFormat="1">
      <c r="A95" s="46"/>
      <c r="B95" s="46"/>
      <c r="C95" s="46"/>
      <c r="D95" s="46"/>
      <c r="E95" s="46"/>
      <c r="F95" s="46"/>
      <c r="G95" s="46"/>
      <c r="H95" s="46"/>
      <c r="K95" s="46"/>
    </row>
    <row r="96" spans="1:11" s="109" customFormat="1">
      <c r="A96" s="46"/>
      <c r="B96" s="46"/>
      <c r="C96" s="46"/>
      <c r="D96" s="46"/>
      <c r="E96" s="46"/>
      <c r="F96" s="46"/>
      <c r="G96" s="46"/>
      <c r="H96" s="46"/>
      <c r="K96" s="46"/>
    </row>
    <row r="97" spans="1:11" s="109" customFormat="1">
      <c r="A97" s="46"/>
      <c r="B97" s="46"/>
      <c r="C97" s="46"/>
      <c r="D97" s="46"/>
      <c r="E97" s="46"/>
      <c r="F97" s="46"/>
      <c r="G97" s="46"/>
      <c r="H97" s="46"/>
      <c r="K97" s="46"/>
    </row>
    <row r="98" spans="1:11" s="109" customFormat="1">
      <c r="A98" s="46"/>
      <c r="B98" s="46"/>
      <c r="C98" s="46"/>
      <c r="D98" s="46"/>
      <c r="E98" s="46"/>
      <c r="F98" s="46"/>
      <c r="G98" s="46"/>
      <c r="H98" s="46"/>
      <c r="K98" s="46"/>
    </row>
  </sheetData>
  <mergeCells count="3">
    <mergeCell ref="A2:J2"/>
    <mergeCell ref="A3:J3"/>
    <mergeCell ref="A4:J4"/>
  </mergeCells>
  <printOptions horizontalCentered="1"/>
  <pageMargins left="0.02" right="0.15" top="0.39" bottom="0.1" header="0.21" footer="0.1"/>
  <pageSetup scale="84" orientation="portrait" horizontalDpi="4294967294" verticalDpi="30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M98"/>
  <sheetViews>
    <sheetView topLeftCell="A10" workbookViewId="0">
      <selection activeCell="M19" sqref="M19"/>
    </sheetView>
  </sheetViews>
  <sheetFormatPr defaultRowHeight="12.75"/>
  <cols>
    <col min="1" max="1" width="6" style="46" customWidth="1"/>
    <col min="2" max="3" width="9.140625" style="46"/>
    <col min="4" max="4" width="16.5703125" style="46" customWidth="1"/>
    <col min="5" max="6" width="13.85546875" style="46" customWidth="1"/>
    <col min="7" max="7" width="10" style="46" customWidth="1"/>
    <col min="8" max="8" width="11.5703125" style="46" customWidth="1"/>
    <col min="9" max="9" width="11.42578125" style="46" customWidth="1"/>
    <col min="10" max="10" width="13.28515625" style="109" customWidth="1"/>
    <col min="11" max="11" width="15.7109375" style="46" customWidth="1"/>
    <col min="12" max="12" width="16.85546875" style="109" customWidth="1"/>
    <col min="13" max="13" width="17" style="109" customWidth="1"/>
    <col min="14" max="14" width="17" style="46" customWidth="1"/>
    <col min="15" max="16384" width="9.140625" style="46"/>
  </cols>
  <sheetData>
    <row r="1" spans="1:13">
      <c r="A1" s="47"/>
      <c r="B1" s="48"/>
      <c r="C1" s="48"/>
      <c r="D1" s="48"/>
      <c r="E1" s="48"/>
      <c r="F1" s="48"/>
      <c r="G1" s="48"/>
      <c r="H1" s="48"/>
      <c r="I1" s="48"/>
      <c r="J1" s="169" t="s">
        <v>81</v>
      </c>
    </row>
    <row r="2" spans="1:13">
      <c r="A2" s="389" t="s">
        <v>80</v>
      </c>
      <c r="B2" s="390"/>
      <c r="C2" s="390"/>
      <c r="D2" s="390"/>
      <c r="E2" s="390"/>
      <c r="F2" s="390"/>
      <c r="G2" s="390"/>
      <c r="H2" s="390"/>
      <c r="I2" s="390"/>
      <c r="J2" s="391"/>
    </row>
    <row r="3" spans="1:13">
      <c r="A3" s="389" t="s">
        <v>246</v>
      </c>
      <c r="B3" s="390"/>
      <c r="C3" s="390"/>
      <c r="D3" s="390"/>
      <c r="E3" s="390"/>
      <c r="F3" s="390"/>
      <c r="G3" s="390"/>
      <c r="H3" s="390"/>
      <c r="I3" s="390"/>
      <c r="J3" s="391"/>
    </row>
    <row r="4" spans="1:13">
      <c r="A4" s="389"/>
      <c r="B4" s="390"/>
      <c r="C4" s="390"/>
      <c r="D4" s="390"/>
      <c r="E4" s="390"/>
      <c r="F4" s="390"/>
      <c r="G4" s="390"/>
      <c r="H4" s="390"/>
      <c r="I4" s="390"/>
      <c r="J4" s="391"/>
    </row>
    <row r="5" spans="1:13">
      <c r="A5" s="54" t="s">
        <v>77</v>
      </c>
      <c r="B5" s="240"/>
      <c r="C5" s="240"/>
      <c r="D5" s="240"/>
      <c r="E5" s="240"/>
      <c r="F5" s="240"/>
      <c r="G5" s="240"/>
      <c r="H5" s="240"/>
      <c r="I5" s="240"/>
      <c r="J5" s="170"/>
    </row>
    <row r="6" spans="1:13">
      <c r="A6" s="54" t="s">
        <v>76</v>
      </c>
      <c r="B6" s="55"/>
      <c r="C6" s="55"/>
      <c r="D6" s="55"/>
      <c r="E6" s="55"/>
      <c r="F6" s="55"/>
      <c r="G6" s="55"/>
      <c r="H6" s="55"/>
      <c r="I6" s="55"/>
      <c r="J6" s="171"/>
      <c r="K6" s="46" t="s">
        <v>210</v>
      </c>
    </row>
    <row r="7" spans="1:13">
      <c r="A7" s="47"/>
      <c r="B7" s="48"/>
      <c r="C7" s="48"/>
      <c r="D7" s="49"/>
      <c r="E7" s="88" t="s">
        <v>8</v>
      </c>
      <c r="F7" s="50"/>
      <c r="G7" s="52"/>
      <c r="H7" s="52"/>
      <c r="I7" s="53"/>
      <c r="J7" s="110"/>
    </row>
    <row r="8" spans="1:13">
      <c r="A8" s="54"/>
      <c r="B8" s="55"/>
      <c r="C8" s="55"/>
      <c r="D8" s="56"/>
      <c r="E8" s="239" t="s">
        <v>9</v>
      </c>
      <c r="F8" s="53"/>
      <c r="G8" s="59"/>
      <c r="H8" s="59"/>
      <c r="I8" s="58"/>
      <c r="J8" s="111"/>
    </row>
    <row r="9" spans="1:13">
      <c r="A9" s="61" t="s">
        <v>68</v>
      </c>
      <c r="B9" s="55"/>
      <c r="C9" s="55"/>
      <c r="D9" s="56"/>
      <c r="E9" s="239" t="s">
        <v>10</v>
      </c>
      <c r="F9" s="60" t="s">
        <v>12</v>
      </c>
      <c r="G9" s="60" t="s">
        <v>14</v>
      </c>
      <c r="H9" s="60" t="s">
        <v>20</v>
      </c>
      <c r="I9" s="60" t="s">
        <v>22</v>
      </c>
      <c r="J9" s="112" t="s">
        <v>24</v>
      </c>
    </row>
    <row r="10" spans="1:13">
      <c r="A10" s="54"/>
      <c r="B10" s="55"/>
      <c r="C10" s="55"/>
      <c r="D10" s="56"/>
      <c r="E10" s="239" t="s">
        <v>11</v>
      </c>
      <c r="F10" s="60" t="s">
        <v>13</v>
      </c>
      <c r="G10" s="59"/>
      <c r="H10" s="60" t="s">
        <v>21</v>
      </c>
      <c r="I10" s="60" t="s">
        <v>23</v>
      </c>
      <c r="J10" s="111"/>
    </row>
    <row r="11" spans="1:13">
      <c r="A11" s="62"/>
      <c r="B11" s="63"/>
      <c r="C11" s="63"/>
      <c r="D11" s="64"/>
      <c r="E11" s="65">
        <v>0.3</v>
      </c>
      <c r="F11" s="66">
        <v>0.7</v>
      </c>
      <c r="G11" s="59"/>
      <c r="H11" s="67"/>
      <c r="I11" s="68"/>
      <c r="J11" s="113"/>
    </row>
    <row r="12" spans="1:13" ht="18" customHeight="1">
      <c r="A12" s="70" t="s">
        <v>0</v>
      </c>
      <c r="B12" s="71"/>
      <c r="C12" s="71"/>
      <c r="D12" s="72"/>
      <c r="E12" s="51"/>
      <c r="F12" s="51"/>
      <c r="G12" s="51"/>
      <c r="H12" s="51"/>
      <c r="I12" s="51"/>
      <c r="J12" s="110"/>
      <c r="L12" s="118" t="s">
        <v>90</v>
      </c>
      <c r="M12" s="118" t="s">
        <v>89</v>
      </c>
    </row>
    <row r="13" spans="1:13" ht="18" customHeight="1">
      <c r="A13" s="73" t="s">
        <v>1</v>
      </c>
      <c r="B13" s="72"/>
      <c r="C13" s="72"/>
      <c r="D13" s="72"/>
      <c r="E13" s="94">
        <f>M19*0.3</f>
        <v>543529.18170000042</v>
      </c>
      <c r="F13" s="94">
        <f>M19*0.7</f>
        <v>1268234.7573000011</v>
      </c>
      <c r="G13" s="94"/>
      <c r="H13" s="94"/>
      <c r="I13" s="94"/>
      <c r="J13" s="114">
        <f>SUM(E13:I13)</f>
        <v>1811763.9390000016</v>
      </c>
      <c r="K13" s="175" t="e">
        <f>SUM(J13+#REF!+#REF!+#REF!+#REF!+#REF!+#REF!+#REF!+#REF!+#REF!+#REF!+#REF!)</f>
        <v>#REF!</v>
      </c>
      <c r="L13" s="109">
        <v>21367644.399999999</v>
      </c>
      <c r="M13" s="109">
        <v>4171566.4</v>
      </c>
    </row>
    <row r="14" spans="1:13" ht="18" customHeight="1">
      <c r="A14" s="73" t="s">
        <v>2</v>
      </c>
      <c r="B14" s="72"/>
      <c r="C14" s="72"/>
      <c r="D14" s="72"/>
      <c r="E14" s="102"/>
      <c r="F14" s="102"/>
      <c r="G14" s="102"/>
      <c r="H14" s="102"/>
      <c r="I14" s="102"/>
      <c r="J14" s="110">
        <f>SUM(E14:I14)</f>
        <v>0</v>
      </c>
      <c r="K14" s="117" t="s">
        <v>88</v>
      </c>
      <c r="L14" s="109">
        <v>9400000</v>
      </c>
      <c r="M14" s="109">
        <v>5637398.9699999997</v>
      </c>
    </row>
    <row r="15" spans="1:13" ht="18" customHeight="1">
      <c r="A15" s="75" t="s">
        <v>3</v>
      </c>
      <c r="B15" s="48"/>
      <c r="C15" s="48"/>
      <c r="D15" s="48"/>
      <c r="E15" s="102"/>
      <c r="F15" s="102"/>
      <c r="G15" s="102"/>
      <c r="H15" s="102"/>
      <c r="I15" s="102"/>
      <c r="J15" s="110"/>
      <c r="L15" s="116">
        <f>SUM(L13:L14)</f>
        <v>30767644.399999999</v>
      </c>
      <c r="M15" s="116">
        <f>SUM(M13:M14)</f>
        <v>9808965.3699999992</v>
      </c>
    </row>
    <row r="16" spans="1:13" ht="18" customHeight="1">
      <c r="A16" s="76" t="s">
        <v>78</v>
      </c>
      <c r="B16" s="55"/>
      <c r="C16" s="55"/>
      <c r="D16" s="55"/>
      <c r="E16" s="103"/>
      <c r="F16" s="103"/>
      <c r="G16" s="103"/>
      <c r="H16" s="103"/>
      <c r="I16" s="103"/>
      <c r="J16" s="113">
        <f>SUM(E16:I16)</f>
        <v>0</v>
      </c>
      <c r="K16" s="46">
        <v>11930281.960000001</v>
      </c>
    </row>
    <row r="17" spans="1:13" ht="18" customHeight="1">
      <c r="A17" s="77" t="s">
        <v>79</v>
      </c>
      <c r="B17" s="72"/>
      <c r="C17" s="72"/>
      <c r="D17" s="72"/>
      <c r="E17" s="94"/>
      <c r="F17" s="94"/>
      <c r="G17" s="94"/>
      <c r="H17" s="94"/>
      <c r="I17" s="94"/>
      <c r="J17" s="113">
        <f>SUM(E17:I17)</f>
        <v>0</v>
      </c>
      <c r="K17" s="173">
        <f>K16-J16</f>
        <v>11930281.960000001</v>
      </c>
      <c r="M17" s="109">
        <v>25936573.030000001</v>
      </c>
    </row>
    <row r="18" spans="1:13" ht="18" customHeight="1">
      <c r="A18" s="70" t="s">
        <v>7</v>
      </c>
      <c r="B18" s="72"/>
      <c r="C18" s="72"/>
      <c r="D18" s="72"/>
      <c r="E18" s="119">
        <f>SUM(E13:E17)</f>
        <v>543529.18170000042</v>
      </c>
      <c r="F18" s="119">
        <f t="shared" ref="F18:J18" si="0">SUM(F13:F17)</f>
        <v>1268234.7573000011</v>
      </c>
      <c r="G18" s="119">
        <f t="shared" si="0"/>
        <v>0</v>
      </c>
      <c r="H18" s="119">
        <f t="shared" si="0"/>
        <v>0</v>
      </c>
      <c r="I18" s="119">
        <f t="shared" si="0"/>
        <v>0</v>
      </c>
      <c r="J18" s="119">
        <f t="shared" si="0"/>
        <v>1811763.9390000016</v>
      </c>
      <c r="K18" s="166">
        <f t="shared" ref="K18:K44" si="1">SUM(E18:I18)</f>
        <v>1811763.9390000016</v>
      </c>
      <c r="L18" s="193" t="s">
        <v>171</v>
      </c>
      <c r="M18" s="192">
        <f>482472695.06-446237416.28</f>
        <v>36235278.780000031</v>
      </c>
    </row>
    <row r="19" spans="1:13" s="109" customFormat="1" ht="18" customHeight="1">
      <c r="A19" s="74" t="s">
        <v>99</v>
      </c>
      <c r="B19" s="72" t="s">
        <v>100</v>
      </c>
      <c r="C19" s="72"/>
      <c r="D19" s="72"/>
      <c r="E19" s="94">
        <f>SUM('DRRM Funds July2015'!E45)</f>
        <v>15963694.443349998</v>
      </c>
      <c r="F19" s="94">
        <f>SUM('DRRM Funds July2015'!F45)</f>
        <v>23750752.041149992</v>
      </c>
      <c r="G19" s="94">
        <f>SUM('DRRM Funds July2015'!G45)</f>
        <v>0</v>
      </c>
      <c r="H19" s="94">
        <f>SUM('DRRM Funds July2015'!H45)</f>
        <v>0</v>
      </c>
      <c r="I19" s="94">
        <f>SUM('DRRM Funds July2015'!I45)</f>
        <v>0</v>
      </c>
      <c r="J19" s="94">
        <f>SUM('DRRM Funds July2015'!J45)</f>
        <v>39714446.484499991</v>
      </c>
      <c r="K19" s="166">
        <f t="shared" si="1"/>
        <v>39714446.484499991</v>
      </c>
      <c r="L19" s="194">
        <v>0.05</v>
      </c>
      <c r="M19" s="262">
        <f>M18*0.05</f>
        <v>1811763.9390000016</v>
      </c>
    </row>
    <row r="20" spans="1:13" s="109" customFormat="1" ht="18" customHeight="1">
      <c r="A20" s="70" t="s">
        <v>101</v>
      </c>
      <c r="B20" s="122"/>
      <c r="C20" s="72"/>
      <c r="D20" s="72"/>
      <c r="E20" s="119">
        <f>SUM(E18:E19)</f>
        <v>16507223.625049999</v>
      </c>
      <c r="F20" s="119">
        <f t="shared" ref="F20:J20" si="2">SUM(F18:F19)</f>
        <v>25018986.798449993</v>
      </c>
      <c r="G20" s="119">
        <f t="shared" si="2"/>
        <v>0</v>
      </c>
      <c r="H20" s="119">
        <f t="shared" si="2"/>
        <v>0</v>
      </c>
      <c r="I20" s="119">
        <f t="shared" si="2"/>
        <v>0</v>
      </c>
      <c r="J20" s="119">
        <f t="shared" si="2"/>
        <v>41526210.423499994</v>
      </c>
      <c r="K20" s="166">
        <f t="shared" si="1"/>
        <v>41526210.423499994</v>
      </c>
    </row>
    <row r="21" spans="1:13" ht="18" customHeight="1">
      <c r="A21" s="70" t="s">
        <v>15</v>
      </c>
      <c r="B21" s="72"/>
      <c r="C21" s="72"/>
      <c r="D21" s="72"/>
      <c r="E21" s="94"/>
      <c r="F21" s="94"/>
      <c r="G21" s="94"/>
      <c r="H21" s="94"/>
      <c r="I21" s="94"/>
      <c r="J21" s="114"/>
      <c r="K21" s="166">
        <f t="shared" si="1"/>
        <v>0</v>
      </c>
      <c r="M21" s="109">
        <v>26972032.48</v>
      </c>
    </row>
    <row r="22" spans="1:13" ht="18" customHeight="1">
      <c r="A22" s="78" t="s">
        <v>206</v>
      </c>
      <c r="B22" s="72"/>
      <c r="C22" s="72"/>
      <c r="D22" s="72"/>
      <c r="E22" s="94"/>
      <c r="F22" s="94"/>
      <c r="G22" s="94"/>
      <c r="H22" s="94"/>
      <c r="I22" s="94"/>
      <c r="J22" s="114">
        <f>SUM(E22:I22)</f>
        <v>0</v>
      </c>
      <c r="K22" s="166"/>
    </row>
    <row r="23" spans="1:13" ht="18" customHeight="1">
      <c r="A23" s="78" t="s">
        <v>207</v>
      </c>
      <c r="B23" s="72"/>
      <c r="C23" s="72"/>
      <c r="D23" s="72"/>
      <c r="E23" s="94"/>
      <c r="F23" s="94"/>
      <c r="G23" s="94"/>
      <c r="H23" s="94"/>
      <c r="I23" s="94"/>
      <c r="J23" s="114">
        <f t="shared" ref="J23:J41" si="3">SUM(E23:I23)</f>
        <v>0</v>
      </c>
      <c r="K23" s="166"/>
    </row>
    <row r="24" spans="1:13" ht="18" customHeight="1">
      <c r="A24" s="78" t="s">
        <v>228</v>
      </c>
      <c r="B24" s="72"/>
      <c r="C24" s="72"/>
      <c r="D24" s="72"/>
      <c r="E24" s="94"/>
      <c r="F24" s="94"/>
      <c r="G24" s="94"/>
      <c r="H24" s="94"/>
      <c r="I24" s="94"/>
      <c r="J24" s="114">
        <f t="shared" si="3"/>
        <v>0</v>
      </c>
      <c r="K24" s="166">
        <f t="shared" si="1"/>
        <v>0</v>
      </c>
      <c r="L24" s="176">
        <f>518731460.56*0.05</f>
        <v>25936573.028000001</v>
      </c>
      <c r="M24" s="109">
        <v>125607.13</v>
      </c>
    </row>
    <row r="25" spans="1:13" ht="18" customHeight="1">
      <c r="A25" s="78" t="s">
        <v>229</v>
      </c>
      <c r="B25" s="72"/>
      <c r="C25" s="72"/>
      <c r="D25" s="72"/>
      <c r="E25" s="94"/>
      <c r="F25" s="94">
        <v>76840</v>
      </c>
      <c r="G25" s="94"/>
      <c r="H25" s="94"/>
      <c r="I25" s="94"/>
      <c r="J25" s="114">
        <f t="shared" si="3"/>
        <v>76840</v>
      </c>
      <c r="K25" s="166"/>
      <c r="L25" s="228"/>
    </row>
    <row r="26" spans="1:13" ht="18" customHeight="1">
      <c r="A26" s="78" t="s">
        <v>70</v>
      </c>
      <c r="B26" s="72"/>
      <c r="C26" s="72"/>
      <c r="D26" s="72"/>
      <c r="E26" s="94"/>
      <c r="F26" s="94">
        <v>260150</v>
      </c>
      <c r="G26" s="94"/>
      <c r="H26" s="94"/>
      <c r="I26" s="94"/>
      <c r="J26" s="114">
        <f t="shared" si="3"/>
        <v>260150</v>
      </c>
      <c r="K26" s="166">
        <f t="shared" si="1"/>
        <v>260150</v>
      </c>
      <c r="L26" s="109" t="e">
        <f>L24-K13</f>
        <v>#REF!</v>
      </c>
      <c r="M26" s="109">
        <v>510000</v>
      </c>
    </row>
    <row r="27" spans="1:13" ht="18" customHeight="1">
      <c r="A27" s="78" t="s">
        <v>71</v>
      </c>
      <c r="B27" s="72"/>
      <c r="C27" s="72"/>
      <c r="D27" s="72"/>
      <c r="E27" s="94"/>
      <c r="F27" s="94">
        <v>254956.32</v>
      </c>
      <c r="G27" s="94"/>
      <c r="H27" s="94"/>
      <c r="I27" s="94"/>
      <c r="J27" s="114">
        <f t="shared" si="3"/>
        <v>254956.32</v>
      </c>
      <c r="K27" s="166">
        <f t="shared" si="1"/>
        <v>254956.32</v>
      </c>
      <c r="M27" s="109">
        <v>1430000</v>
      </c>
    </row>
    <row r="28" spans="1:13" ht="18" customHeight="1">
      <c r="A28" s="79" t="s">
        <v>91</v>
      </c>
      <c r="B28" s="72"/>
      <c r="C28" s="72"/>
      <c r="D28" s="72"/>
      <c r="E28" s="94"/>
      <c r="F28" s="94">
        <v>141140</v>
      </c>
      <c r="G28" s="94"/>
      <c r="H28" s="94"/>
      <c r="I28" s="94"/>
      <c r="J28" s="114">
        <f t="shared" si="3"/>
        <v>141140</v>
      </c>
      <c r="K28" s="166">
        <f t="shared" si="1"/>
        <v>141140</v>
      </c>
      <c r="M28" s="109">
        <v>4285413.1100000003</v>
      </c>
    </row>
    <row r="29" spans="1:13" ht="18" customHeight="1">
      <c r="A29" s="78" t="s">
        <v>17</v>
      </c>
      <c r="B29" s="72"/>
      <c r="C29" s="72"/>
      <c r="D29" s="72"/>
      <c r="E29" s="94"/>
      <c r="F29" s="94"/>
      <c r="G29" s="94"/>
      <c r="H29" s="94"/>
      <c r="I29" s="94"/>
      <c r="J29" s="114">
        <f t="shared" si="3"/>
        <v>0</v>
      </c>
      <c r="K29" s="166">
        <f t="shared" si="1"/>
        <v>0</v>
      </c>
      <c r="M29" s="109">
        <v>3777930</v>
      </c>
    </row>
    <row r="30" spans="1:13" ht="18" customHeight="1">
      <c r="A30" s="78" t="s">
        <v>227</v>
      </c>
      <c r="B30" s="72"/>
      <c r="C30" s="72"/>
      <c r="D30" s="72"/>
      <c r="E30" s="94"/>
      <c r="F30" s="94"/>
      <c r="G30" s="94"/>
      <c r="H30" s="94"/>
      <c r="I30" s="94"/>
      <c r="J30" s="114">
        <f t="shared" si="3"/>
        <v>0</v>
      </c>
      <c r="K30" s="166">
        <f t="shared" si="1"/>
        <v>0</v>
      </c>
      <c r="L30" s="118" t="s">
        <v>162</v>
      </c>
      <c r="M30" s="109">
        <v>100</v>
      </c>
    </row>
    <row r="31" spans="1:13" ht="18" customHeight="1">
      <c r="A31" s="78" t="s">
        <v>213</v>
      </c>
      <c r="B31" s="72"/>
      <c r="C31" s="72"/>
      <c r="D31" s="72"/>
      <c r="E31" s="94"/>
      <c r="F31" s="94"/>
      <c r="G31" s="94"/>
      <c r="H31" s="94"/>
      <c r="I31" s="94"/>
      <c r="J31" s="114">
        <f t="shared" si="3"/>
        <v>0</v>
      </c>
      <c r="K31" s="166"/>
      <c r="L31" s="118"/>
      <c r="M31" s="109">
        <f>SUM(M24:M30)</f>
        <v>10129050.24</v>
      </c>
    </row>
    <row r="32" spans="1:13" ht="18" customHeight="1">
      <c r="A32" s="78" t="s">
        <v>214</v>
      </c>
      <c r="B32" s="72"/>
      <c r="C32" s="72"/>
      <c r="D32" s="72"/>
      <c r="E32" s="94"/>
      <c r="F32" s="94">
        <v>102000</v>
      </c>
      <c r="G32" s="94"/>
      <c r="H32" s="94"/>
      <c r="I32" s="94"/>
      <c r="J32" s="114">
        <f t="shared" si="3"/>
        <v>102000</v>
      </c>
      <c r="K32" s="227" t="s">
        <v>226</v>
      </c>
      <c r="L32" s="118"/>
    </row>
    <row r="33" spans="1:13" ht="18" customHeight="1">
      <c r="A33" s="78" t="s">
        <v>102</v>
      </c>
      <c r="B33" s="72"/>
      <c r="C33" s="72"/>
      <c r="D33" s="72"/>
      <c r="E33" s="94"/>
      <c r="F33" s="94"/>
      <c r="G33" s="94"/>
      <c r="H33" s="94"/>
      <c r="I33" s="94"/>
      <c r="J33" s="114">
        <f t="shared" si="3"/>
        <v>0</v>
      </c>
      <c r="K33" s="226">
        <f t="shared" si="1"/>
        <v>0</v>
      </c>
      <c r="L33" s="109">
        <f>SUM(F30:F33)</f>
        <v>102000</v>
      </c>
    </row>
    <row r="34" spans="1:13" ht="18" customHeight="1">
      <c r="A34" s="78" t="s">
        <v>19</v>
      </c>
      <c r="B34" s="72"/>
      <c r="C34" s="72"/>
      <c r="D34" s="72"/>
      <c r="E34" s="94"/>
      <c r="F34" s="94"/>
      <c r="G34" s="94"/>
      <c r="H34" s="94"/>
      <c r="I34" s="94"/>
      <c r="J34" s="114">
        <f t="shared" si="3"/>
        <v>0</v>
      </c>
      <c r="K34" s="166">
        <f t="shared" si="1"/>
        <v>0</v>
      </c>
      <c r="L34" s="109">
        <v>147060</v>
      </c>
    </row>
    <row r="35" spans="1:13" ht="18" customHeight="1">
      <c r="A35" s="78" t="s">
        <v>168</v>
      </c>
      <c r="B35" s="72"/>
      <c r="C35" s="72"/>
      <c r="D35" s="72"/>
      <c r="E35" s="94"/>
      <c r="F35" s="94"/>
      <c r="G35" s="94"/>
      <c r="H35" s="94"/>
      <c r="I35" s="94"/>
      <c r="J35" s="114">
        <f t="shared" si="3"/>
        <v>0</v>
      </c>
      <c r="K35" s="166">
        <f t="shared" si="1"/>
        <v>0</v>
      </c>
    </row>
    <row r="36" spans="1:13" ht="18" customHeight="1">
      <c r="A36" s="78" t="s">
        <v>208</v>
      </c>
      <c r="B36" s="72"/>
      <c r="C36" s="72"/>
      <c r="D36" s="72"/>
      <c r="E36" s="94"/>
      <c r="F36" s="94"/>
      <c r="G36" s="94"/>
      <c r="H36" s="94"/>
      <c r="I36" s="94"/>
      <c r="J36" s="114">
        <f t="shared" si="3"/>
        <v>0</v>
      </c>
      <c r="K36" s="166">
        <f t="shared" si="1"/>
        <v>0</v>
      </c>
      <c r="L36" s="109">
        <v>1555500</v>
      </c>
    </row>
    <row r="37" spans="1:13" ht="18" customHeight="1">
      <c r="A37" s="78"/>
      <c r="B37" s="72" t="s">
        <v>209</v>
      </c>
      <c r="C37" s="72"/>
      <c r="D37" s="72"/>
      <c r="E37" s="94"/>
      <c r="F37" s="94"/>
      <c r="G37" s="94"/>
      <c r="H37" s="94"/>
      <c r="I37" s="94"/>
      <c r="J37" s="114">
        <f t="shared" si="3"/>
        <v>0</v>
      </c>
      <c r="K37" s="166">
        <f t="shared" si="1"/>
        <v>0</v>
      </c>
      <c r="L37" s="109">
        <v>2209000</v>
      </c>
    </row>
    <row r="38" spans="1:13" ht="18" customHeight="1">
      <c r="A38" s="78" t="s">
        <v>244</v>
      </c>
      <c r="B38" s="72"/>
      <c r="C38" s="72"/>
      <c r="D38" s="72"/>
      <c r="E38" s="94"/>
      <c r="F38" s="94">
        <v>45600</v>
      </c>
      <c r="G38" s="94"/>
      <c r="H38" s="94"/>
      <c r="I38" s="94"/>
      <c r="J38" s="114">
        <f t="shared" si="3"/>
        <v>45600</v>
      </c>
      <c r="K38" s="166">
        <f t="shared" si="1"/>
        <v>45600</v>
      </c>
      <c r="L38" s="109">
        <v>173800</v>
      </c>
    </row>
    <row r="39" spans="1:13" ht="18" customHeight="1">
      <c r="A39" s="79" t="s">
        <v>94</v>
      </c>
      <c r="B39" s="72"/>
      <c r="C39" s="72"/>
      <c r="D39" s="72"/>
      <c r="E39" s="94"/>
      <c r="F39" s="94"/>
      <c r="G39" s="94"/>
      <c r="H39" s="94"/>
      <c r="I39" s="94"/>
      <c r="J39" s="114">
        <f t="shared" si="3"/>
        <v>0</v>
      </c>
      <c r="K39" s="166">
        <f t="shared" si="1"/>
        <v>0</v>
      </c>
      <c r="L39" s="109">
        <v>177000</v>
      </c>
    </row>
    <row r="40" spans="1:13" ht="18" customHeight="1">
      <c r="A40" s="79" t="s">
        <v>95</v>
      </c>
      <c r="B40" s="72"/>
      <c r="C40" s="72"/>
      <c r="D40" s="72"/>
      <c r="E40" s="94"/>
      <c r="F40" s="94"/>
      <c r="G40" s="94"/>
      <c r="H40" s="94"/>
      <c r="I40" s="94"/>
      <c r="J40" s="114">
        <f t="shared" si="3"/>
        <v>0</v>
      </c>
      <c r="K40" s="166">
        <f t="shared" si="1"/>
        <v>0</v>
      </c>
      <c r="L40" s="109">
        <v>204055</v>
      </c>
    </row>
    <row r="41" spans="1:13" ht="18" customHeight="1">
      <c r="A41" s="78" t="s">
        <v>96</v>
      </c>
      <c r="B41" s="72"/>
      <c r="C41" s="72"/>
      <c r="D41" s="72"/>
      <c r="E41" s="94"/>
      <c r="F41" s="94"/>
      <c r="G41" s="94"/>
      <c r="H41" s="94"/>
      <c r="I41" s="94"/>
      <c r="J41" s="114">
        <f t="shared" si="3"/>
        <v>0</v>
      </c>
      <c r="K41" s="166">
        <f t="shared" si="1"/>
        <v>0</v>
      </c>
      <c r="L41" s="109">
        <v>71070</v>
      </c>
    </row>
    <row r="42" spans="1:13" ht="18" customHeight="1">
      <c r="A42" s="84" t="s">
        <v>92</v>
      </c>
      <c r="B42" s="63"/>
      <c r="C42" s="63"/>
      <c r="D42" s="63"/>
      <c r="E42" s="94">
        <f t="shared" ref="E42:J42" si="4">SUM(E22:E41)</f>
        <v>0</v>
      </c>
      <c r="F42" s="94">
        <f t="shared" si="4"/>
        <v>880686.32000000007</v>
      </c>
      <c r="G42" s="94">
        <f t="shared" si="4"/>
        <v>0</v>
      </c>
      <c r="H42" s="94">
        <f t="shared" si="4"/>
        <v>0</v>
      </c>
      <c r="I42" s="94">
        <f t="shared" si="4"/>
        <v>0</v>
      </c>
      <c r="J42" s="94">
        <f t="shared" si="4"/>
        <v>880686.32000000007</v>
      </c>
      <c r="K42" s="166">
        <f t="shared" si="1"/>
        <v>880686.32000000007</v>
      </c>
      <c r="L42" s="109">
        <v>27800</v>
      </c>
      <c r="M42" s="46"/>
    </row>
    <row r="43" spans="1:13" ht="18" customHeight="1">
      <c r="A43" s="84" t="s">
        <v>103</v>
      </c>
      <c r="B43" s="63"/>
      <c r="C43" s="63"/>
      <c r="D43" s="63"/>
      <c r="E43" s="103">
        <f>SUM('DRRM Funds July2015'!E44)</f>
        <v>0</v>
      </c>
      <c r="F43" s="103">
        <f>SUM('DRRM Funds July2015'!F44)</f>
        <v>13894405.389999999</v>
      </c>
      <c r="G43" s="103">
        <f>SUM('DRRM Funds July2015'!G44)</f>
        <v>0</v>
      </c>
      <c r="H43" s="103">
        <f>SUM('DRRM Funds July2015'!H44)</f>
        <v>0</v>
      </c>
      <c r="I43" s="103">
        <f>SUM('DRRM Funds July2015'!I44)</f>
        <v>0</v>
      </c>
      <c r="J43" s="103">
        <f>SUM('DRRM Funds July2015'!J44)</f>
        <v>13894405.389999999</v>
      </c>
      <c r="K43" s="166">
        <f t="shared" si="1"/>
        <v>13894405.389999999</v>
      </c>
      <c r="L43" s="109">
        <v>126865</v>
      </c>
      <c r="M43" s="109">
        <f>SUM(E43:H43)</f>
        <v>13894405.389999999</v>
      </c>
    </row>
    <row r="44" spans="1:13" ht="18" customHeight="1">
      <c r="A44" s="84" t="s">
        <v>104</v>
      </c>
      <c r="B44" s="63"/>
      <c r="C44" s="63"/>
      <c r="D44" s="63"/>
      <c r="E44" s="103">
        <f>SUM(E42:E43)</f>
        <v>0</v>
      </c>
      <c r="F44" s="103">
        <f>SUM(F42:F43)</f>
        <v>14775091.709999999</v>
      </c>
      <c r="G44" s="103">
        <f t="shared" ref="G44:J44" si="5">SUM(G42:G43)</f>
        <v>0</v>
      </c>
      <c r="H44" s="103">
        <f t="shared" si="5"/>
        <v>0</v>
      </c>
      <c r="I44" s="103">
        <f t="shared" si="5"/>
        <v>0</v>
      </c>
      <c r="J44" s="103">
        <f t="shared" si="5"/>
        <v>14775091.709999999</v>
      </c>
      <c r="K44" s="166">
        <f t="shared" si="1"/>
        <v>14775091.709999999</v>
      </c>
      <c r="L44" s="174">
        <f>SUM(L33:L43)</f>
        <v>4794150</v>
      </c>
      <c r="M44" s="109">
        <v>10492358.970000001</v>
      </c>
    </row>
    <row r="45" spans="1:13" ht="18" customHeight="1">
      <c r="A45" s="70" t="s">
        <v>93</v>
      </c>
      <c r="B45" s="72"/>
      <c r="C45" s="72"/>
      <c r="D45" s="80"/>
      <c r="E45" s="231">
        <f t="shared" ref="E45:J45" si="6">E20-E42</f>
        <v>16507223.625049999</v>
      </c>
      <c r="F45" s="231">
        <f t="shared" si="6"/>
        <v>24138300.478449993</v>
      </c>
      <c r="G45" s="231">
        <f t="shared" si="6"/>
        <v>0</v>
      </c>
      <c r="H45" s="231">
        <f t="shared" si="6"/>
        <v>0</v>
      </c>
      <c r="I45" s="231">
        <f t="shared" si="6"/>
        <v>0</v>
      </c>
      <c r="J45" s="231">
        <f t="shared" si="6"/>
        <v>40645524.103499994</v>
      </c>
      <c r="K45" s="166">
        <f>SUM(E45:I45)</f>
        <v>40645524.103499994</v>
      </c>
      <c r="L45" s="46"/>
      <c r="M45" s="109">
        <f>M44-L44</f>
        <v>5698208.9700000007</v>
      </c>
    </row>
    <row r="46" spans="1:13" ht="18" customHeight="1">
      <c r="A46" s="55"/>
      <c r="B46" s="55"/>
      <c r="C46" s="55"/>
      <c r="D46" s="55"/>
      <c r="E46" s="55"/>
      <c r="F46" s="55"/>
      <c r="G46" s="55"/>
      <c r="H46" s="55"/>
      <c r="I46" s="55"/>
      <c r="J46" s="115" t="s">
        <v>74</v>
      </c>
      <c r="K46" s="92">
        <f>SUM(E45:F45)</f>
        <v>40645524.103499994</v>
      </c>
      <c r="M46" s="109">
        <v>0</v>
      </c>
    </row>
    <row r="47" spans="1:13">
      <c r="A47" s="55" t="s">
        <v>83</v>
      </c>
      <c r="B47" s="55"/>
      <c r="C47" s="55"/>
      <c r="D47" s="55"/>
      <c r="E47" s="55"/>
      <c r="F47" s="55"/>
      <c r="G47" s="55"/>
      <c r="H47" s="55" t="s">
        <v>29</v>
      </c>
      <c r="I47" s="55"/>
      <c r="J47" s="115"/>
      <c r="K47" s="55"/>
      <c r="L47" s="109">
        <v>752760</v>
      </c>
    </row>
    <row r="48" spans="1:13">
      <c r="A48" s="55"/>
      <c r="B48" s="55"/>
      <c r="C48" s="55"/>
      <c r="D48" s="55"/>
      <c r="E48" s="55"/>
      <c r="F48" s="55"/>
      <c r="G48" s="55"/>
      <c r="H48" s="55"/>
      <c r="I48" s="55"/>
      <c r="J48" s="115"/>
      <c r="K48" s="55"/>
      <c r="L48" s="109">
        <v>902075</v>
      </c>
    </row>
    <row r="49" spans="1:13">
      <c r="A49" s="82" t="s">
        <v>202</v>
      </c>
      <c r="B49" s="55"/>
      <c r="C49" s="55"/>
      <c r="D49" s="55"/>
      <c r="E49" s="55"/>
      <c r="F49" s="55"/>
      <c r="G49" s="55"/>
      <c r="H49" s="241" t="s">
        <v>194</v>
      </c>
      <c r="I49" s="55"/>
      <c r="J49" s="115"/>
      <c r="K49" s="55"/>
      <c r="L49" s="109">
        <v>504234.65</v>
      </c>
      <c r="M49" s="109">
        <v>8736531.7100000009</v>
      </c>
    </row>
    <row r="50" spans="1:13">
      <c r="A50" s="140" t="s">
        <v>203</v>
      </c>
      <c r="B50" s="55"/>
      <c r="C50" s="55"/>
      <c r="D50" s="55"/>
      <c r="E50" s="55"/>
      <c r="F50" s="55"/>
      <c r="G50" s="55"/>
      <c r="H50" s="140" t="s">
        <v>195</v>
      </c>
      <c r="I50" s="55"/>
      <c r="J50" s="115"/>
      <c r="K50" s="55"/>
      <c r="L50" s="109">
        <v>899145</v>
      </c>
      <c r="M50" s="109">
        <v>10140</v>
      </c>
    </row>
    <row r="51" spans="1:13">
      <c r="A51" s="55"/>
      <c r="B51" s="55"/>
      <c r="C51" s="55"/>
      <c r="D51" s="55"/>
      <c r="E51" s="121" t="s">
        <v>237</v>
      </c>
      <c r="F51" s="55"/>
      <c r="G51" s="55"/>
      <c r="H51" s="55"/>
      <c r="I51" s="55"/>
      <c r="J51" s="115"/>
      <c r="K51" s="55"/>
      <c r="L51" s="109">
        <v>1087927.3999999999</v>
      </c>
      <c r="M51" s="109">
        <f>SUM(M49:M50)</f>
        <v>8746671.7100000009</v>
      </c>
    </row>
    <row r="52" spans="1:13">
      <c r="A52" s="55"/>
      <c r="B52" s="55"/>
      <c r="C52" s="55"/>
      <c r="D52" s="55"/>
      <c r="E52" s="115"/>
      <c r="F52" s="55"/>
      <c r="G52" s="55"/>
      <c r="H52" s="55"/>
      <c r="I52" s="115"/>
      <c r="J52" s="115"/>
      <c r="K52" s="55"/>
      <c r="L52" s="109">
        <v>2896515.5</v>
      </c>
    </row>
    <row r="53" spans="1:13">
      <c r="A53" s="55"/>
      <c r="B53" s="55"/>
      <c r="C53" s="55"/>
      <c r="D53" s="55"/>
      <c r="E53" s="82" t="s">
        <v>149</v>
      </c>
      <c r="F53" s="55"/>
      <c r="G53" s="55"/>
      <c r="H53" s="55"/>
      <c r="I53" s="115"/>
      <c r="J53" s="115"/>
      <c r="K53" s="55"/>
    </row>
    <row r="54" spans="1:13">
      <c r="A54" s="55"/>
      <c r="B54" s="55"/>
      <c r="C54" s="55"/>
      <c r="D54" s="55"/>
      <c r="E54" s="55" t="s">
        <v>238</v>
      </c>
      <c r="F54" s="55"/>
      <c r="G54" s="55"/>
      <c r="H54" s="55"/>
      <c r="I54" s="115"/>
      <c r="J54" s="115"/>
      <c r="K54" s="55"/>
      <c r="L54" s="109">
        <v>120000</v>
      </c>
    </row>
    <row r="55" spans="1:13">
      <c r="I55" s="109"/>
      <c r="M55" s="46"/>
    </row>
    <row r="56" spans="1:13">
      <c r="F56" s="121">
        <f>F18-F57</f>
        <v>-906919.54269999871</v>
      </c>
      <c r="I56" s="109"/>
      <c r="K56" s="55"/>
      <c r="L56" s="115">
        <v>630000</v>
      </c>
      <c r="M56" s="183">
        <v>10644424.82</v>
      </c>
    </row>
    <row r="57" spans="1:13">
      <c r="F57" s="115">
        <f>49980+103610+255752.8+265335+81917.75+32889+315132+287135.25+143400+640002.5</f>
        <v>2175154.2999999998</v>
      </c>
      <c r="I57" s="109"/>
      <c r="J57" s="109">
        <v>7850000</v>
      </c>
      <c r="L57" s="109">
        <v>1000000</v>
      </c>
      <c r="M57" s="183">
        <v>13157941.960000001</v>
      </c>
    </row>
    <row r="58" spans="1:13">
      <c r="I58" s="109"/>
      <c r="J58" s="109">
        <v>800000</v>
      </c>
      <c r="L58" s="109">
        <v>1300000</v>
      </c>
      <c r="M58" s="184">
        <v>0</v>
      </c>
    </row>
    <row r="59" spans="1:13">
      <c r="I59" s="109"/>
      <c r="J59" s="109">
        <v>1200000</v>
      </c>
      <c r="L59" s="109">
        <v>2000000</v>
      </c>
      <c r="M59" s="183">
        <f>SUM(M56:M58)</f>
        <v>23802366.780000001</v>
      </c>
    </row>
    <row r="60" spans="1:13">
      <c r="I60" s="109"/>
      <c r="J60" s="109">
        <v>3500000</v>
      </c>
      <c r="L60" s="109">
        <v>150000</v>
      </c>
      <c r="M60" s="183">
        <v>24092226.780000001</v>
      </c>
    </row>
    <row r="61" spans="1:13">
      <c r="I61" s="109">
        <v>100000</v>
      </c>
      <c r="J61" s="116">
        <f>SUM(J57:J60)</f>
        <v>13350000</v>
      </c>
      <c r="L61" s="109">
        <v>4590281.96</v>
      </c>
      <c r="M61" s="183">
        <f>M60-M59</f>
        <v>289860</v>
      </c>
    </row>
    <row r="62" spans="1:13">
      <c r="I62" s="109">
        <v>4589687.1100000003</v>
      </c>
      <c r="J62" s="109">
        <v>16829861.079999998</v>
      </c>
      <c r="L62" s="109">
        <f>SUM(L56:L61)</f>
        <v>9670281.9600000009</v>
      </c>
      <c r="M62" s="46"/>
    </row>
    <row r="63" spans="1:13">
      <c r="I63" s="116">
        <f>SUM(I57:I62)</f>
        <v>4689687.1100000003</v>
      </c>
      <c r="J63" s="109">
        <f>J61-J62</f>
        <v>-3479861.0799999982</v>
      </c>
      <c r="M63" s="109">
        <v>24416573.030000001</v>
      </c>
    </row>
    <row r="64" spans="1:13">
      <c r="I64" s="109">
        <v>7212797.6100000003</v>
      </c>
      <c r="M64" s="109">
        <v>24708913.030000001</v>
      </c>
    </row>
    <row r="65" spans="1:13">
      <c r="I65" s="109">
        <f>I63-I64</f>
        <v>-2523110.5</v>
      </c>
      <c r="M65" s="109">
        <f>M63-M64</f>
        <v>-292340</v>
      </c>
    </row>
    <row r="66" spans="1:13">
      <c r="I66" s="109"/>
      <c r="M66" s="109">
        <v>289860</v>
      </c>
    </row>
    <row r="67" spans="1:13">
      <c r="I67" s="109"/>
      <c r="J67" s="109">
        <v>25346381.800000001</v>
      </c>
      <c r="M67" s="173">
        <f>SUM(M65:M66)</f>
        <v>-2480</v>
      </c>
    </row>
    <row r="68" spans="1:13">
      <c r="I68" s="109"/>
      <c r="J68" s="109">
        <v>24042658.690000001</v>
      </c>
      <c r="M68" s="46"/>
    </row>
    <row r="69" spans="1:13">
      <c r="I69" s="109"/>
      <c r="J69" s="109">
        <f>J67-J68</f>
        <v>1303723.1099999994</v>
      </c>
      <c r="L69" s="109">
        <v>400000</v>
      </c>
      <c r="M69" s="46"/>
    </row>
    <row r="70" spans="1:13">
      <c r="I70" s="109"/>
      <c r="L70" s="109">
        <v>1000000</v>
      </c>
      <c r="M70" s="109">
        <v>25279.7</v>
      </c>
    </row>
    <row r="71" spans="1:13">
      <c r="I71" s="109"/>
      <c r="M71" s="109">
        <v>27759.7</v>
      </c>
    </row>
    <row r="72" spans="1:13">
      <c r="H72" s="109"/>
      <c r="I72" s="109"/>
      <c r="M72" s="173">
        <f>M70-M71</f>
        <v>-2480</v>
      </c>
    </row>
    <row r="73" spans="1:13">
      <c r="H73" s="109">
        <v>4455551.57</v>
      </c>
      <c r="I73" s="109"/>
      <c r="J73" s="109">
        <v>17496381.800000001</v>
      </c>
      <c r="M73" s="46"/>
    </row>
    <row r="74" spans="1:13">
      <c r="H74" s="109">
        <v>5760963.6399999997</v>
      </c>
      <c r="I74" s="109"/>
      <c r="J74" s="109">
        <v>7850000</v>
      </c>
      <c r="M74" s="46"/>
    </row>
    <row r="75" spans="1:13">
      <c r="H75" s="109">
        <f>SUM(H73:H74)</f>
        <v>10216515.210000001</v>
      </c>
      <c r="I75" s="109"/>
      <c r="J75" s="109">
        <f>SUM(J73:J74)</f>
        <v>25346381.800000001</v>
      </c>
      <c r="M75" s="46"/>
    </row>
    <row r="76" spans="1:13" s="109" customFormat="1">
      <c r="A76" s="46"/>
      <c r="B76" s="46"/>
      <c r="C76" s="46"/>
      <c r="D76" s="46"/>
      <c r="E76" s="46"/>
      <c r="F76" s="46"/>
      <c r="G76" s="46"/>
    </row>
    <row r="77" spans="1:13" s="109" customFormat="1">
      <c r="A77" s="46"/>
      <c r="B77" s="46"/>
      <c r="C77" s="46"/>
      <c r="D77" s="46"/>
      <c r="E77" s="46"/>
      <c r="F77" s="46"/>
      <c r="G77" s="46"/>
    </row>
    <row r="78" spans="1:13" s="109" customFormat="1">
      <c r="A78" s="46"/>
      <c r="B78" s="46"/>
      <c r="C78" s="46"/>
      <c r="D78" s="46"/>
      <c r="E78" s="46"/>
      <c r="F78" s="46"/>
      <c r="G78" s="46"/>
    </row>
    <row r="79" spans="1:13" s="109" customFormat="1">
      <c r="A79" s="46"/>
      <c r="B79" s="46"/>
      <c r="C79" s="46"/>
      <c r="D79" s="46"/>
      <c r="E79" s="46"/>
      <c r="F79" s="46"/>
      <c r="G79" s="46"/>
    </row>
    <row r="80" spans="1:13" s="109" customFormat="1">
      <c r="A80" s="46"/>
      <c r="B80" s="46"/>
      <c r="C80" s="46"/>
      <c r="D80" s="46"/>
      <c r="E80" s="46"/>
      <c r="F80" s="46"/>
      <c r="G80" s="46"/>
    </row>
    <row r="81" spans="1:11" s="109" customFormat="1">
      <c r="A81" s="46"/>
      <c r="B81" s="46"/>
      <c r="C81" s="46"/>
      <c r="D81" s="46"/>
      <c r="E81" s="46"/>
      <c r="F81" s="46"/>
      <c r="G81" s="46"/>
    </row>
    <row r="82" spans="1:11" s="109" customFormat="1">
      <c r="A82" s="46"/>
      <c r="B82" s="46"/>
      <c r="C82" s="46"/>
      <c r="D82" s="46"/>
      <c r="E82" s="46"/>
      <c r="F82" s="46"/>
      <c r="G82" s="46"/>
      <c r="H82" s="46"/>
    </row>
    <row r="83" spans="1:11" s="109" customFormat="1">
      <c r="A83" s="46"/>
      <c r="B83" s="46"/>
      <c r="C83" s="46"/>
      <c r="D83" s="46"/>
      <c r="E83" s="46"/>
      <c r="F83" s="46"/>
      <c r="G83" s="46"/>
      <c r="H83" s="46"/>
    </row>
    <row r="84" spans="1:11" s="109" customFormat="1">
      <c r="A84" s="46"/>
      <c r="B84" s="46"/>
      <c r="C84" s="46"/>
      <c r="D84" s="46"/>
      <c r="E84" s="46"/>
      <c r="F84" s="46"/>
      <c r="G84" s="46"/>
      <c r="H84" s="46"/>
    </row>
    <row r="85" spans="1:11" s="109" customFormat="1">
      <c r="A85" s="46"/>
      <c r="B85" s="46"/>
      <c r="C85" s="46"/>
      <c r="D85" s="46"/>
      <c r="E85" s="46"/>
      <c r="F85" s="46"/>
      <c r="G85" s="46"/>
      <c r="H85" s="46"/>
    </row>
    <row r="86" spans="1:11" s="109" customFormat="1">
      <c r="A86" s="46"/>
      <c r="B86" s="46"/>
      <c r="C86" s="46"/>
      <c r="D86" s="46"/>
      <c r="E86" s="46"/>
      <c r="F86" s="46"/>
      <c r="G86" s="46"/>
      <c r="H86" s="46"/>
      <c r="K86" s="46"/>
    </row>
    <row r="87" spans="1:11" s="109" customFormat="1">
      <c r="A87" s="46"/>
      <c r="B87" s="46"/>
      <c r="C87" s="46"/>
      <c r="D87" s="46"/>
      <c r="E87" s="46"/>
      <c r="F87" s="46"/>
      <c r="G87" s="46"/>
      <c r="H87" s="46"/>
      <c r="K87" s="46"/>
    </row>
    <row r="88" spans="1:11" s="109" customFormat="1">
      <c r="A88" s="46"/>
      <c r="B88" s="46"/>
      <c r="C88" s="46"/>
      <c r="D88" s="46"/>
      <c r="E88" s="46"/>
      <c r="F88" s="46"/>
      <c r="G88" s="46"/>
      <c r="H88" s="46"/>
      <c r="K88" s="46"/>
    </row>
    <row r="89" spans="1:11" s="109" customFormat="1">
      <c r="A89" s="46"/>
      <c r="B89" s="46"/>
      <c r="C89" s="46"/>
      <c r="D89" s="46"/>
      <c r="E89" s="46"/>
      <c r="F89" s="46"/>
      <c r="G89" s="46"/>
      <c r="H89" s="46"/>
      <c r="K89" s="46"/>
    </row>
    <row r="90" spans="1:11" s="109" customFormat="1">
      <c r="A90" s="46"/>
      <c r="B90" s="46"/>
      <c r="C90" s="46"/>
      <c r="D90" s="46"/>
      <c r="E90" s="46"/>
      <c r="F90" s="46"/>
      <c r="G90" s="46"/>
      <c r="H90" s="46"/>
      <c r="K90" s="46"/>
    </row>
    <row r="91" spans="1:11" s="109" customFormat="1">
      <c r="A91" s="46"/>
      <c r="B91" s="46"/>
      <c r="C91" s="46"/>
      <c r="D91" s="46"/>
      <c r="E91" s="46"/>
      <c r="F91" s="46"/>
      <c r="G91" s="46"/>
      <c r="H91" s="46"/>
      <c r="K91" s="46"/>
    </row>
    <row r="92" spans="1:11" s="109" customFormat="1">
      <c r="A92" s="46"/>
      <c r="B92" s="46"/>
      <c r="C92" s="46"/>
      <c r="D92" s="46"/>
      <c r="E92" s="46"/>
      <c r="F92" s="46"/>
      <c r="G92" s="46"/>
      <c r="H92" s="46"/>
      <c r="K92" s="46"/>
    </row>
    <row r="93" spans="1:11" s="109" customFormat="1">
      <c r="A93" s="46"/>
      <c r="B93" s="46"/>
      <c r="C93" s="46"/>
      <c r="D93" s="46"/>
      <c r="E93" s="46"/>
      <c r="F93" s="46"/>
      <c r="G93" s="46"/>
      <c r="H93" s="46"/>
      <c r="K93" s="46"/>
    </row>
    <row r="94" spans="1:11" s="109" customFormat="1">
      <c r="A94" s="46"/>
      <c r="B94" s="46"/>
      <c r="C94" s="46"/>
      <c r="D94" s="46"/>
      <c r="E94" s="46"/>
      <c r="F94" s="46"/>
      <c r="G94" s="46"/>
      <c r="H94" s="46"/>
      <c r="K94" s="46"/>
    </row>
    <row r="95" spans="1:11" s="109" customFormat="1">
      <c r="A95" s="46"/>
      <c r="B95" s="46"/>
      <c r="C95" s="46"/>
      <c r="D95" s="46"/>
      <c r="E95" s="46"/>
      <c r="F95" s="46"/>
      <c r="G95" s="46"/>
      <c r="H95" s="46"/>
      <c r="K95" s="46"/>
    </row>
    <row r="96" spans="1:11" s="109" customFormat="1">
      <c r="A96" s="46"/>
      <c r="B96" s="46"/>
      <c r="C96" s="46"/>
      <c r="D96" s="46"/>
      <c r="E96" s="46"/>
      <c r="F96" s="46"/>
      <c r="G96" s="46"/>
      <c r="H96" s="46"/>
      <c r="K96" s="46"/>
    </row>
    <row r="97" spans="1:11" s="109" customFormat="1">
      <c r="A97" s="46"/>
      <c r="B97" s="46"/>
      <c r="C97" s="46"/>
      <c r="D97" s="46"/>
      <c r="E97" s="46"/>
      <c r="F97" s="46"/>
      <c r="G97" s="46"/>
      <c r="H97" s="46"/>
      <c r="K97" s="46"/>
    </row>
    <row r="98" spans="1:11" s="109" customFormat="1">
      <c r="A98" s="46"/>
      <c r="B98" s="46"/>
      <c r="C98" s="46"/>
      <c r="D98" s="46"/>
      <c r="E98" s="46"/>
      <c r="F98" s="46"/>
      <c r="G98" s="46"/>
      <c r="H98" s="46"/>
      <c r="K98" s="46"/>
    </row>
  </sheetData>
  <mergeCells count="3">
    <mergeCell ref="A2:J2"/>
    <mergeCell ref="A3:J3"/>
    <mergeCell ref="A4:J4"/>
  </mergeCells>
  <printOptions horizontalCentered="1"/>
  <pageMargins left="0.02" right="0.15" top="0.39" bottom="0.1" header="0.21" footer="0.1"/>
  <pageSetup scale="84" orientation="portrait" horizontalDpi="4294967293" verticalDpi="30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M98"/>
  <sheetViews>
    <sheetView topLeftCell="A7" workbookViewId="0">
      <selection activeCell="G18" sqref="G18"/>
    </sheetView>
  </sheetViews>
  <sheetFormatPr defaultRowHeight="12.75"/>
  <cols>
    <col min="1" max="1" width="6" style="46" customWidth="1"/>
    <col min="2" max="3" width="9.140625" style="46"/>
    <col min="4" max="4" width="16.5703125" style="46" customWidth="1"/>
    <col min="5" max="6" width="13.85546875" style="46" customWidth="1"/>
    <col min="7" max="7" width="10" style="46" customWidth="1"/>
    <col min="8" max="8" width="11.5703125" style="46" customWidth="1"/>
    <col min="9" max="9" width="11.42578125" style="46" customWidth="1"/>
    <col min="10" max="10" width="13.28515625" style="109" customWidth="1"/>
    <col min="11" max="11" width="15.7109375" style="46" customWidth="1"/>
    <col min="12" max="12" width="16.85546875" style="109" customWidth="1"/>
    <col min="13" max="13" width="17" style="109" customWidth="1"/>
    <col min="14" max="14" width="17" style="46" customWidth="1"/>
    <col min="15" max="16384" width="9.140625" style="46"/>
  </cols>
  <sheetData>
    <row r="1" spans="1:13">
      <c r="A1" s="47"/>
      <c r="B1" s="48"/>
      <c r="C1" s="48"/>
      <c r="D1" s="48"/>
      <c r="E1" s="48"/>
      <c r="F1" s="48"/>
      <c r="G1" s="48"/>
      <c r="H1" s="48"/>
      <c r="I1" s="48"/>
      <c r="J1" s="169" t="s">
        <v>81</v>
      </c>
    </row>
    <row r="2" spans="1:13">
      <c r="A2" s="389" t="s">
        <v>80</v>
      </c>
      <c r="B2" s="390"/>
      <c r="C2" s="390"/>
      <c r="D2" s="390"/>
      <c r="E2" s="390"/>
      <c r="F2" s="390"/>
      <c r="G2" s="390"/>
      <c r="H2" s="390"/>
      <c r="I2" s="390"/>
      <c r="J2" s="391"/>
    </row>
    <row r="3" spans="1:13">
      <c r="A3" s="389" t="s">
        <v>245</v>
      </c>
      <c r="B3" s="390"/>
      <c r="C3" s="390"/>
      <c r="D3" s="390"/>
      <c r="E3" s="390"/>
      <c r="F3" s="390"/>
      <c r="G3" s="390"/>
      <c r="H3" s="390"/>
      <c r="I3" s="390"/>
      <c r="J3" s="391"/>
    </row>
    <row r="4" spans="1:13">
      <c r="A4" s="389"/>
      <c r="B4" s="390"/>
      <c r="C4" s="390"/>
      <c r="D4" s="390"/>
      <c r="E4" s="390"/>
      <c r="F4" s="390"/>
      <c r="G4" s="390"/>
      <c r="H4" s="390"/>
      <c r="I4" s="390"/>
      <c r="J4" s="391"/>
    </row>
    <row r="5" spans="1:13">
      <c r="A5" s="54" t="s">
        <v>77</v>
      </c>
      <c r="B5" s="238"/>
      <c r="C5" s="238"/>
      <c r="D5" s="238"/>
      <c r="E5" s="238"/>
      <c r="F5" s="238"/>
      <c r="G5" s="238"/>
      <c r="H5" s="238"/>
      <c r="I5" s="238"/>
      <c r="J5" s="170"/>
    </row>
    <row r="6" spans="1:13">
      <c r="A6" s="54" t="s">
        <v>76</v>
      </c>
      <c r="B6" s="55"/>
      <c r="C6" s="55"/>
      <c r="D6" s="55"/>
      <c r="E6" s="55"/>
      <c r="F6" s="55"/>
      <c r="G6" s="55"/>
      <c r="H6" s="55"/>
      <c r="I6" s="55"/>
      <c r="J6" s="171"/>
      <c r="K6" s="46" t="s">
        <v>210</v>
      </c>
    </row>
    <row r="7" spans="1:13">
      <c r="A7" s="47"/>
      <c r="B7" s="48"/>
      <c r="C7" s="48"/>
      <c r="D7" s="49"/>
      <c r="E7" s="88" t="s">
        <v>8</v>
      </c>
      <c r="F7" s="50"/>
      <c r="G7" s="52"/>
      <c r="H7" s="52"/>
      <c r="I7" s="53"/>
      <c r="J7" s="110"/>
    </row>
    <row r="8" spans="1:13">
      <c r="A8" s="54"/>
      <c r="B8" s="55"/>
      <c r="C8" s="55"/>
      <c r="D8" s="56"/>
      <c r="E8" s="237" t="s">
        <v>9</v>
      </c>
      <c r="F8" s="53"/>
      <c r="G8" s="59"/>
      <c r="H8" s="59"/>
      <c r="I8" s="58"/>
      <c r="J8" s="111"/>
    </row>
    <row r="9" spans="1:13">
      <c r="A9" s="61" t="s">
        <v>68</v>
      </c>
      <c r="B9" s="55"/>
      <c r="C9" s="55"/>
      <c r="D9" s="56"/>
      <c r="E9" s="237" t="s">
        <v>10</v>
      </c>
      <c r="F9" s="60" t="s">
        <v>12</v>
      </c>
      <c r="G9" s="60" t="s">
        <v>14</v>
      </c>
      <c r="H9" s="60" t="s">
        <v>20</v>
      </c>
      <c r="I9" s="60" t="s">
        <v>22</v>
      </c>
      <c r="J9" s="112" t="s">
        <v>24</v>
      </c>
    </row>
    <row r="10" spans="1:13">
      <c r="A10" s="54"/>
      <c r="B10" s="55"/>
      <c r="C10" s="55"/>
      <c r="D10" s="56"/>
      <c r="E10" s="237" t="s">
        <v>11</v>
      </c>
      <c r="F10" s="60" t="s">
        <v>13</v>
      </c>
      <c r="G10" s="59"/>
      <c r="H10" s="60" t="s">
        <v>21</v>
      </c>
      <c r="I10" s="60" t="s">
        <v>23</v>
      </c>
      <c r="J10" s="111"/>
    </row>
    <row r="11" spans="1:13">
      <c r="A11" s="62"/>
      <c r="B11" s="63"/>
      <c r="C11" s="63"/>
      <c r="D11" s="64"/>
      <c r="E11" s="65">
        <v>0.3</v>
      </c>
      <c r="F11" s="66">
        <v>0.7</v>
      </c>
      <c r="G11" s="59"/>
      <c r="H11" s="67"/>
      <c r="I11" s="68"/>
      <c r="J11" s="113"/>
    </row>
    <row r="12" spans="1:13" ht="18" customHeight="1">
      <c r="A12" s="70" t="s">
        <v>0</v>
      </c>
      <c r="B12" s="71"/>
      <c r="C12" s="71"/>
      <c r="D12" s="72"/>
      <c r="E12" s="51"/>
      <c r="F12" s="51"/>
      <c r="G12" s="51"/>
      <c r="H12" s="51"/>
      <c r="I12" s="51"/>
      <c r="J12" s="110"/>
      <c r="L12" s="118" t="s">
        <v>90</v>
      </c>
      <c r="M12" s="118" t="s">
        <v>89</v>
      </c>
    </row>
    <row r="13" spans="1:13" ht="18" customHeight="1">
      <c r="A13" s="73" t="s">
        <v>1</v>
      </c>
      <c r="B13" s="72"/>
      <c r="C13" s="72"/>
      <c r="D13" s="72"/>
      <c r="E13" s="94">
        <f>M19*0.3</f>
        <v>1489564.0316999995</v>
      </c>
      <c r="F13" s="94">
        <f>M19*0.7</f>
        <v>3475649.4072999987</v>
      </c>
      <c r="G13" s="94"/>
      <c r="H13" s="94"/>
      <c r="I13" s="94"/>
      <c r="J13" s="114">
        <f>SUM(E13:I13)</f>
        <v>4965213.4389999984</v>
      </c>
      <c r="K13" s="175" t="e">
        <f>SUM(J13+#REF!+#REF!+#REF!+#REF!+#REF!+#REF!+#REF!+#REF!+#REF!+#REF!+#REF!)</f>
        <v>#REF!</v>
      </c>
      <c r="L13" s="109">
        <v>21367644.399999999</v>
      </c>
      <c r="M13" s="109">
        <v>4171566.4</v>
      </c>
    </row>
    <row r="14" spans="1:13" ht="18" customHeight="1">
      <c r="A14" s="73" t="s">
        <v>2</v>
      </c>
      <c r="B14" s="72"/>
      <c r="C14" s="72"/>
      <c r="D14" s="72"/>
      <c r="E14" s="102"/>
      <c r="F14" s="102"/>
      <c r="G14" s="102"/>
      <c r="H14" s="102"/>
      <c r="I14" s="102"/>
      <c r="J14" s="110">
        <f>SUM(E14:I14)</f>
        <v>0</v>
      </c>
      <c r="K14" s="117" t="s">
        <v>88</v>
      </c>
      <c r="L14" s="109">
        <v>9400000</v>
      </c>
      <c r="M14" s="109">
        <v>5637398.9699999997</v>
      </c>
    </row>
    <row r="15" spans="1:13" ht="18" customHeight="1">
      <c r="A15" s="75" t="s">
        <v>3</v>
      </c>
      <c r="B15" s="48"/>
      <c r="C15" s="48"/>
      <c r="D15" s="48"/>
      <c r="E15" s="102"/>
      <c r="F15" s="102"/>
      <c r="G15" s="102"/>
      <c r="H15" s="102"/>
      <c r="I15" s="102"/>
      <c r="J15" s="110"/>
      <c r="L15" s="116">
        <f>SUM(L13:L14)</f>
        <v>30767644.399999999</v>
      </c>
      <c r="M15" s="116">
        <f>SUM(M13:M14)</f>
        <v>9808965.3699999992</v>
      </c>
    </row>
    <row r="16" spans="1:13" ht="18" customHeight="1">
      <c r="A16" s="76" t="s">
        <v>78</v>
      </c>
      <c r="B16" s="55"/>
      <c r="C16" s="55"/>
      <c r="D16" s="55"/>
      <c r="E16" s="103"/>
      <c r="F16" s="103"/>
      <c r="G16" s="103"/>
      <c r="H16" s="103"/>
      <c r="I16" s="103"/>
      <c r="J16" s="113">
        <f>SUM(E16:I16)</f>
        <v>0</v>
      </c>
      <c r="K16" s="46">
        <v>11930281.960000001</v>
      </c>
    </row>
    <row r="17" spans="1:13" ht="18" customHeight="1">
      <c r="A17" s="77" t="s">
        <v>79</v>
      </c>
      <c r="B17" s="72"/>
      <c r="C17" s="72"/>
      <c r="D17" s="72"/>
      <c r="E17" s="94"/>
      <c r="F17" s="94"/>
      <c r="G17" s="94"/>
      <c r="H17" s="94"/>
      <c r="I17" s="94"/>
      <c r="J17" s="113">
        <f>SUM(E17:I17)</f>
        <v>0</v>
      </c>
      <c r="K17" s="173">
        <f>K16-J16</f>
        <v>11930281.960000001</v>
      </c>
      <c r="M17" s="109">
        <v>25936573.030000001</v>
      </c>
    </row>
    <row r="18" spans="1:13" ht="18" customHeight="1">
      <c r="A18" s="70" t="s">
        <v>7</v>
      </c>
      <c r="B18" s="72"/>
      <c r="C18" s="72"/>
      <c r="D18" s="72"/>
      <c r="E18" s="119">
        <f>SUM(E13:E17)</f>
        <v>1489564.0316999995</v>
      </c>
      <c r="F18" s="119">
        <f t="shared" ref="F18:J18" si="0">SUM(F13:F17)</f>
        <v>3475649.4072999987</v>
      </c>
      <c r="G18" s="119">
        <f t="shared" si="0"/>
        <v>0</v>
      </c>
      <c r="H18" s="119">
        <f t="shared" si="0"/>
        <v>0</v>
      </c>
      <c r="I18" s="119">
        <f t="shared" si="0"/>
        <v>0</v>
      </c>
      <c r="J18" s="119">
        <f t="shared" si="0"/>
        <v>4965213.4389999984</v>
      </c>
      <c r="K18" s="166">
        <f t="shared" ref="K18:K44" si="1">SUM(E18:I18)</f>
        <v>4965213.4389999984</v>
      </c>
      <c r="L18" s="193" t="s">
        <v>171</v>
      </c>
      <c r="M18" s="192">
        <f>446237416.28-346933147.5</f>
        <v>99304268.779999971</v>
      </c>
    </row>
    <row r="19" spans="1:13" s="109" customFormat="1" ht="18" customHeight="1">
      <c r="A19" s="74" t="s">
        <v>99</v>
      </c>
      <c r="B19" s="72" t="s">
        <v>100</v>
      </c>
      <c r="C19" s="72"/>
      <c r="D19" s="72"/>
      <c r="E19" s="94">
        <f>SUM('DRRM Funds June2015 Rev'!E45)</f>
        <v>14474130.411649998</v>
      </c>
      <c r="F19" s="94">
        <f>SUM('DRRM Funds June2015 Rev'!F45)</f>
        <v>20894235.023849994</v>
      </c>
      <c r="G19" s="94">
        <f>SUM('DRRM Funds June2015 Rev'!G45)</f>
        <v>0</v>
      </c>
      <c r="H19" s="94">
        <f>SUM('DRRM Funds June2015 Rev'!H45)</f>
        <v>0</v>
      </c>
      <c r="I19" s="94">
        <f>SUM('DRRM Funds June2015 Rev'!I45)</f>
        <v>0</v>
      </c>
      <c r="J19" s="94">
        <f>SUM('DRRM Funds June2015 Rev'!J45)</f>
        <v>35368365.435499996</v>
      </c>
      <c r="K19" s="166">
        <f t="shared" si="1"/>
        <v>35368365.435499996</v>
      </c>
      <c r="L19" s="194">
        <v>0.05</v>
      </c>
      <c r="M19" s="262">
        <f>M18*0.05</f>
        <v>4965213.4389999984</v>
      </c>
    </row>
    <row r="20" spans="1:13" s="109" customFormat="1" ht="18" customHeight="1">
      <c r="A20" s="70" t="s">
        <v>101</v>
      </c>
      <c r="B20" s="122"/>
      <c r="C20" s="72"/>
      <c r="D20" s="72"/>
      <c r="E20" s="119">
        <f>SUM(E18:E19)</f>
        <v>15963694.443349998</v>
      </c>
      <c r="F20" s="119">
        <f t="shared" ref="F20:J20" si="2">SUM(F18:F19)</f>
        <v>24369884.431149993</v>
      </c>
      <c r="G20" s="119">
        <f t="shared" si="2"/>
        <v>0</v>
      </c>
      <c r="H20" s="119">
        <f t="shared" si="2"/>
        <v>0</v>
      </c>
      <c r="I20" s="119">
        <f t="shared" si="2"/>
        <v>0</v>
      </c>
      <c r="J20" s="119">
        <f t="shared" si="2"/>
        <v>40333578.874499992</v>
      </c>
      <c r="K20" s="166">
        <f t="shared" si="1"/>
        <v>40333578.874499992</v>
      </c>
    </row>
    <row r="21" spans="1:13" ht="18" customHeight="1">
      <c r="A21" s="70" t="s">
        <v>15</v>
      </c>
      <c r="B21" s="72"/>
      <c r="C21" s="72"/>
      <c r="D21" s="72"/>
      <c r="E21" s="94"/>
      <c r="F21" s="94"/>
      <c r="G21" s="94"/>
      <c r="H21" s="94"/>
      <c r="I21" s="94"/>
      <c r="J21" s="114"/>
      <c r="K21" s="166">
        <f t="shared" si="1"/>
        <v>0</v>
      </c>
      <c r="M21" s="109">
        <v>26972032.48</v>
      </c>
    </row>
    <row r="22" spans="1:13" ht="18" customHeight="1">
      <c r="A22" s="78" t="s">
        <v>206</v>
      </c>
      <c r="B22" s="72"/>
      <c r="C22" s="72"/>
      <c r="D22" s="72"/>
      <c r="E22" s="94"/>
      <c r="F22" s="94"/>
      <c r="G22" s="94"/>
      <c r="H22" s="94"/>
      <c r="I22" s="94"/>
      <c r="J22" s="114">
        <f>SUM(E22:I22)</f>
        <v>0</v>
      </c>
      <c r="K22" s="166"/>
    </row>
    <row r="23" spans="1:13" ht="18" customHeight="1">
      <c r="A23" s="78" t="s">
        <v>207</v>
      </c>
      <c r="B23" s="72"/>
      <c r="C23" s="72"/>
      <c r="D23" s="72"/>
      <c r="E23" s="94"/>
      <c r="F23" s="94"/>
      <c r="G23" s="94"/>
      <c r="H23" s="94"/>
      <c r="I23" s="94"/>
      <c r="J23" s="114">
        <f t="shared" ref="J23:J41" si="3">SUM(E23:I23)</f>
        <v>0</v>
      </c>
      <c r="K23" s="166"/>
    </row>
    <row r="24" spans="1:13" ht="18" customHeight="1">
      <c r="A24" s="78" t="s">
        <v>228</v>
      </c>
      <c r="B24" s="72"/>
      <c r="C24" s="72"/>
      <c r="D24" s="72"/>
      <c r="E24" s="94"/>
      <c r="F24" s="94"/>
      <c r="G24" s="94"/>
      <c r="H24" s="94"/>
      <c r="I24" s="94"/>
      <c r="J24" s="114">
        <f t="shared" si="3"/>
        <v>0</v>
      </c>
      <c r="K24" s="166">
        <f t="shared" si="1"/>
        <v>0</v>
      </c>
      <c r="L24" s="176">
        <f>518731460.56*0.05</f>
        <v>25936573.028000001</v>
      </c>
      <c r="M24" s="109">
        <v>125607.13</v>
      </c>
    </row>
    <row r="25" spans="1:13" ht="18" customHeight="1">
      <c r="A25" s="78" t="s">
        <v>229</v>
      </c>
      <c r="B25" s="72"/>
      <c r="C25" s="72"/>
      <c r="D25" s="72"/>
      <c r="E25" s="94"/>
      <c r="F25" s="94"/>
      <c r="G25" s="94"/>
      <c r="H25" s="94"/>
      <c r="I25" s="94"/>
      <c r="J25" s="114">
        <f t="shared" si="3"/>
        <v>0</v>
      </c>
      <c r="K25" s="166"/>
      <c r="L25" s="228"/>
    </row>
    <row r="26" spans="1:13" ht="18" customHeight="1">
      <c r="A26" s="78" t="s">
        <v>70</v>
      </c>
      <c r="B26" s="72"/>
      <c r="C26" s="72"/>
      <c r="D26" s="72"/>
      <c r="E26" s="94"/>
      <c r="F26" s="94">
        <v>29468.799999999999</v>
      </c>
      <c r="G26" s="94"/>
      <c r="H26" s="94"/>
      <c r="I26" s="94"/>
      <c r="J26" s="114">
        <f t="shared" si="3"/>
        <v>29468.799999999999</v>
      </c>
      <c r="K26" s="166">
        <f t="shared" si="1"/>
        <v>29468.799999999999</v>
      </c>
      <c r="L26" s="109" t="e">
        <f>L24-K13</f>
        <v>#REF!</v>
      </c>
      <c r="M26" s="109">
        <v>510000</v>
      </c>
    </row>
    <row r="27" spans="1:13" ht="18" customHeight="1">
      <c r="A27" s="78" t="s">
        <v>71</v>
      </c>
      <c r="B27" s="72"/>
      <c r="C27" s="72"/>
      <c r="D27" s="72"/>
      <c r="E27" s="94"/>
      <c r="F27" s="94">
        <v>517447.34</v>
      </c>
      <c r="G27" s="94"/>
      <c r="H27" s="94"/>
      <c r="I27" s="94"/>
      <c r="J27" s="114">
        <f t="shared" si="3"/>
        <v>517447.34</v>
      </c>
      <c r="K27" s="166">
        <f t="shared" si="1"/>
        <v>517447.34</v>
      </c>
      <c r="M27" s="109">
        <v>1430000</v>
      </c>
    </row>
    <row r="28" spans="1:13" ht="18" customHeight="1">
      <c r="A28" s="79" t="s">
        <v>91</v>
      </c>
      <c r="B28" s="72"/>
      <c r="C28" s="72"/>
      <c r="D28" s="72"/>
      <c r="E28" s="94"/>
      <c r="F28" s="94"/>
      <c r="G28" s="94"/>
      <c r="H28" s="94"/>
      <c r="I28" s="94"/>
      <c r="J28" s="114">
        <f t="shared" si="3"/>
        <v>0</v>
      </c>
      <c r="K28" s="166">
        <f t="shared" si="1"/>
        <v>0</v>
      </c>
      <c r="M28" s="109">
        <v>4285413.1100000003</v>
      </c>
    </row>
    <row r="29" spans="1:13" ht="18" customHeight="1">
      <c r="A29" s="78" t="s">
        <v>17</v>
      </c>
      <c r="B29" s="72"/>
      <c r="C29" s="72"/>
      <c r="D29" s="72"/>
      <c r="E29" s="94"/>
      <c r="F29" s="94"/>
      <c r="G29" s="94"/>
      <c r="H29" s="94"/>
      <c r="I29" s="94"/>
      <c r="J29" s="114">
        <f t="shared" si="3"/>
        <v>0</v>
      </c>
      <c r="K29" s="166">
        <f t="shared" si="1"/>
        <v>0</v>
      </c>
      <c r="M29" s="109">
        <v>3777930</v>
      </c>
    </row>
    <row r="30" spans="1:13" ht="18" customHeight="1">
      <c r="A30" s="78" t="s">
        <v>227</v>
      </c>
      <c r="B30" s="72"/>
      <c r="C30" s="72"/>
      <c r="D30" s="72"/>
      <c r="E30" s="94"/>
      <c r="F30" s="94"/>
      <c r="G30" s="94"/>
      <c r="H30" s="94"/>
      <c r="I30" s="94"/>
      <c r="J30" s="114">
        <f t="shared" si="3"/>
        <v>0</v>
      </c>
      <c r="K30" s="166">
        <f t="shared" si="1"/>
        <v>0</v>
      </c>
      <c r="L30" s="118" t="s">
        <v>162</v>
      </c>
      <c r="M30" s="109">
        <v>100</v>
      </c>
    </row>
    <row r="31" spans="1:13" ht="18" customHeight="1">
      <c r="A31" s="78" t="s">
        <v>213</v>
      </c>
      <c r="B31" s="72"/>
      <c r="C31" s="72"/>
      <c r="D31" s="72"/>
      <c r="E31" s="94"/>
      <c r="F31" s="94"/>
      <c r="G31" s="94"/>
      <c r="H31" s="94"/>
      <c r="I31" s="94"/>
      <c r="J31" s="114">
        <f t="shared" si="3"/>
        <v>0</v>
      </c>
      <c r="K31" s="166"/>
      <c r="L31" s="118"/>
      <c r="M31" s="109">
        <f>SUM(M24:M30)</f>
        <v>10129050.24</v>
      </c>
    </row>
    <row r="32" spans="1:13" ht="18" customHeight="1">
      <c r="A32" s="78" t="s">
        <v>214</v>
      </c>
      <c r="B32" s="72"/>
      <c r="C32" s="72"/>
      <c r="D32" s="72"/>
      <c r="E32" s="94"/>
      <c r="F32" s="94"/>
      <c r="G32" s="94"/>
      <c r="H32" s="94"/>
      <c r="I32" s="94"/>
      <c r="J32" s="114">
        <f t="shared" si="3"/>
        <v>0</v>
      </c>
      <c r="K32" s="227" t="s">
        <v>226</v>
      </c>
      <c r="L32" s="118"/>
    </row>
    <row r="33" spans="1:13" ht="18" customHeight="1">
      <c r="A33" s="78" t="s">
        <v>102</v>
      </c>
      <c r="B33" s="72"/>
      <c r="C33" s="72"/>
      <c r="D33" s="72"/>
      <c r="E33" s="94"/>
      <c r="F33" s="94"/>
      <c r="G33" s="94"/>
      <c r="H33" s="94"/>
      <c r="I33" s="94"/>
      <c r="J33" s="114">
        <f t="shared" si="3"/>
        <v>0</v>
      </c>
      <c r="K33" s="226">
        <f t="shared" si="1"/>
        <v>0</v>
      </c>
      <c r="L33" s="109">
        <f>SUM(F30:F33)</f>
        <v>0</v>
      </c>
    </row>
    <row r="34" spans="1:13" ht="18" customHeight="1">
      <c r="A34" s="78" t="s">
        <v>19</v>
      </c>
      <c r="B34" s="72"/>
      <c r="C34" s="72"/>
      <c r="D34" s="72"/>
      <c r="E34" s="94"/>
      <c r="F34" s="94"/>
      <c r="G34" s="94"/>
      <c r="H34" s="94"/>
      <c r="I34" s="94"/>
      <c r="J34" s="114">
        <f t="shared" si="3"/>
        <v>0</v>
      </c>
      <c r="K34" s="166">
        <f t="shared" si="1"/>
        <v>0</v>
      </c>
      <c r="L34" s="109">
        <v>147060</v>
      </c>
    </row>
    <row r="35" spans="1:13" ht="18" customHeight="1">
      <c r="A35" s="78" t="s">
        <v>168</v>
      </c>
      <c r="B35" s="72"/>
      <c r="C35" s="72"/>
      <c r="D35" s="72"/>
      <c r="E35" s="94"/>
      <c r="F35" s="94"/>
      <c r="G35" s="94"/>
      <c r="H35" s="94"/>
      <c r="I35" s="94"/>
      <c r="J35" s="114">
        <f t="shared" si="3"/>
        <v>0</v>
      </c>
      <c r="K35" s="166">
        <f t="shared" si="1"/>
        <v>0</v>
      </c>
    </row>
    <row r="36" spans="1:13" ht="18" customHeight="1">
      <c r="A36" s="78" t="s">
        <v>208</v>
      </c>
      <c r="B36" s="72"/>
      <c r="C36" s="72"/>
      <c r="D36" s="72"/>
      <c r="E36" s="94"/>
      <c r="F36" s="94"/>
      <c r="G36" s="94"/>
      <c r="H36" s="94"/>
      <c r="I36" s="94"/>
      <c r="J36" s="114">
        <f t="shared" si="3"/>
        <v>0</v>
      </c>
      <c r="K36" s="166">
        <f t="shared" si="1"/>
        <v>0</v>
      </c>
      <c r="L36" s="109">
        <v>1555500</v>
      </c>
    </row>
    <row r="37" spans="1:13" ht="18" customHeight="1">
      <c r="A37" s="78"/>
      <c r="B37" s="72" t="s">
        <v>209</v>
      </c>
      <c r="C37" s="72"/>
      <c r="D37" s="72"/>
      <c r="E37" s="94"/>
      <c r="F37" s="94"/>
      <c r="G37" s="94"/>
      <c r="H37" s="94"/>
      <c r="I37" s="94"/>
      <c r="J37" s="114">
        <f t="shared" si="3"/>
        <v>0</v>
      </c>
      <c r="K37" s="166">
        <f t="shared" si="1"/>
        <v>0</v>
      </c>
      <c r="L37" s="109">
        <v>2209000</v>
      </c>
    </row>
    <row r="38" spans="1:13" ht="18" customHeight="1">
      <c r="A38" s="78" t="s">
        <v>244</v>
      </c>
      <c r="B38" s="72"/>
      <c r="C38" s="72"/>
      <c r="D38" s="72"/>
      <c r="E38" s="94"/>
      <c r="F38" s="94">
        <v>72216.25</v>
      </c>
      <c r="G38" s="94"/>
      <c r="H38" s="94"/>
      <c r="I38" s="94"/>
      <c r="J38" s="114">
        <f t="shared" si="3"/>
        <v>72216.25</v>
      </c>
      <c r="K38" s="166">
        <f t="shared" si="1"/>
        <v>72216.25</v>
      </c>
      <c r="L38" s="109">
        <v>173800</v>
      </c>
    </row>
    <row r="39" spans="1:13" ht="18" customHeight="1">
      <c r="A39" s="79" t="s">
        <v>94</v>
      </c>
      <c r="B39" s="72"/>
      <c r="C39" s="72"/>
      <c r="D39" s="72"/>
      <c r="E39" s="94"/>
      <c r="F39" s="94"/>
      <c r="G39" s="94"/>
      <c r="H39" s="94"/>
      <c r="I39" s="94"/>
      <c r="J39" s="114">
        <f t="shared" si="3"/>
        <v>0</v>
      </c>
      <c r="K39" s="166">
        <f t="shared" si="1"/>
        <v>0</v>
      </c>
      <c r="L39" s="109">
        <v>177000</v>
      </c>
    </row>
    <row r="40" spans="1:13" ht="18" customHeight="1">
      <c r="A40" s="79" t="s">
        <v>95</v>
      </c>
      <c r="B40" s="72"/>
      <c r="C40" s="72"/>
      <c r="D40" s="72"/>
      <c r="E40" s="94"/>
      <c r="F40" s="94"/>
      <c r="G40" s="94"/>
      <c r="H40" s="94"/>
      <c r="I40" s="94"/>
      <c r="J40" s="114">
        <f t="shared" si="3"/>
        <v>0</v>
      </c>
      <c r="K40" s="166">
        <f t="shared" si="1"/>
        <v>0</v>
      </c>
      <c r="L40" s="109">
        <v>204055</v>
      </c>
    </row>
    <row r="41" spans="1:13" ht="18" customHeight="1">
      <c r="A41" s="78" t="s">
        <v>96</v>
      </c>
      <c r="B41" s="72"/>
      <c r="C41" s="72"/>
      <c r="D41" s="72"/>
      <c r="E41" s="94"/>
      <c r="F41" s="94"/>
      <c r="G41" s="94"/>
      <c r="H41" s="94"/>
      <c r="I41" s="94"/>
      <c r="J41" s="114">
        <f t="shared" si="3"/>
        <v>0</v>
      </c>
      <c r="K41" s="166">
        <f t="shared" si="1"/>
        <v>0</v>
      </c>
      <c r="L41" s="109">
        <v>71070</v>
      </c>
    </row>
    <row r="42" spans="1:13" ht="18" customHeight="1">
      <c r="A42" s="84" t="s">
        <v>92</v>
      </c>
      <c r="B42" s="63"/>
      <c r="C42" s="63"/>
      <c r="D42" s="63"/>
      <c r="E42" s="94">
        <f t="shared" ref="E42:J42" si="4">SUM(E22:E41)</f>
        <v>0</v>
      </c>
      <c r="F42" s="94">
        <f t="shared" si="4"/>
        <v>619132.39</v>
      </c>
      <c r="G42" s="94">
        <f t="shared" si="4"/>
        <v>0</v>
      </c>
      <c r="H42" s="94">
        <f t="shared" si="4"/>
        <v>0</v>
      </c>
      <c r="I42" s="94">
        <f t="shared" si="4"/>
        <v>0</v>
      </c>
      <c r="J42" s="94">
        <f t="shared" si="4"/>
        <v>619132.39</v>
      </c>
      <c r="K42" s="166">
        <f t="shared" si="1"/>
        <v>619132.39</v>
      </c>
      <c r="L42" s="109">
        <v>27800</v>
      </c>
      <c r="M42" s="46"/>
    </row>
    <row r="43" spans="1:13" ht="18" customHeight="1">
      <c r="A43" s="84" t="s">
        <v>103</v>
      </c>
      <c r="B43" s="63"/>
      <c r="C43" s="63"/>
      <c r="D43" s="63"/>
      <c r="E43" s="103">
        <f>SUM('DRRM Funds June2015 Rev'!E44)</f>
        <v>0</v>
      </c>
      <c r="F43" s="103">
        <f>SUM('DRRM Funds June2015 Rev'!F44)</f>
        <v>13275272.999999998</v>
      </c>
      <c r="G43" s="103">
        <f>SUM('DRRM Funds June2015 Rev'!G44)</f>
        <v>0</v>
      </c>
      <c r="H43" s="103">
        <f>SUM('DRRM Funds June2015 Rev'!H44)</f>
        <v>0</v>
      </c>
      <c r="I43" s="103">
        <f>SUM('DRRM Funds June2015 Rev'!I44)</f>
        <v>0</v>
      </c>
      <c r="J43" s="103">
        <f>SUM('DRRM Funds June2015 Rev'!J44)</f>
        <v>13275272.999999998</v>
      </c>
      <c r="K43" s="166">
        <f t="shared" si="1"/>
        <v>13275272.999999998</v>
      </c>
      <c r="L43" s="109">
        <v>126865</v>
      </c>
      <c r="M43" s="109">
        <f>SUM(E43:H43)</f>
        <v>13275272.999999998</v>
      </c>
    </row>
    <row r="44" spans="1:13" ht="18" customHeight="1">
      <c r="A44" s="84" t="s">
        <v>104</v>
      </c>
      <c r="B44" s="63"/>
      <c r="C44" s="63"/>
      <c r="D44" s="63"/>
      <c r="E44" s="103">
        <f>SUM(E42:E43)</f>
        <v>0</v>
      </c>
      <c r="F44" s="103">
        <f>SUM(F42:F43)</f>
        <v>13894405.389999999</v>
      </c>
      <c r="G44" s="103">
        <f t="shared" ref="G44:J44" si="5">SUM(G42:G43)</f>
        <v>0</v>
      </c>
      <c r="H44" s="103">
        <f t="shared" si="5"/>
        <v>0</v>
      </c>
      <c r="I44" s="103">
        <f t="shared" si="5"/>
        <v>0</v>
      </c>
      <c r="J44" s="103">
        <f t="shared" si="5"/>
        <v>13894405.389999999</v>
      </c>
      <c r="K44" s="166">
        <f t="shared" si="1"/>
        <v>13894405.389999999</v>
      </c>
      <c r="L44" s="174">
        <f>SUM(L33:L43)</f>
        <v>4692150</v>
      </c>
      <c r="M44" s="109">
        <v>10492358.970000001</v>
      </c>
    </row>
    <row r="45" spans="1:13" ht="18" customHeight="1">
      <c r="A45" s="70" t="s">
        <v>93</v>
      </c>
      <c r="B45" s="72"/>
      <c r="C45" s="72"/>
      <c r="D45" s="80"/>
      <c r="E45" s="231">
        <f t="shared" ref="E45:J45" si="6">E20-E42</f>
        <v>15963694.443349998</v>
      </c>
      <c r="F45" s="231">
        <f t="shared" si="6"/>
        <v>23750752.041149992</v>
      </c>
      <c r="G45" s="231">
        <f t="shared" si="6"/>
        <v>0</v>
      </c>
      <c r="H45" s="231">
        <f t="shared" si="6"/>
        <v>0</v>
      </c>
      <c r="I45" s="231">
        <f t="shared" si="6"/>
        <v>0</v>
      </c>
      <c r="J45" s="231">
        <f t="shared" si="6"/>
        <v>39714446.484499991</v>
      </c>
      <c r="K45" s="166">
        <f>SUM(E45:I45)</f>
        <v>39714446.484499991</v>
      </c>
      <c r="L45" s="46"/>
      <c r="M45" s="109">
        <f>M44-L44</f>
        <v>5800208.9700000007</v>
      </c>
    </row>
    <row r="46" spans="1:13" ht="18" customHeight="1">
      <c r="A46" s="55"/>
      <c r="B46" s="55"/>
      <c r="C46" s="55"/>
      <c r="D46" s="55"/>
      <c r="E46" s="55"/>
      <c r="F46" s="55"/>
      <c r="G46" s="55"/>
      <c r="H46" s="55"/>
      <c r="I46" s="55"/>
      <c r="J46" s="115" t="s">
        <v>74</v>
      </c>
      <c r="K46" s="92">
        <f>SUM(E45:F45)</f>
        <v>39714446.484499991</v>
      </c>
      <c r="M46" s="109">
        <v>0</v>
      </c>
    </row>
    <row r="47" spans="1:13">
      <c r="A47" s="55" t="s">
        <v>83</v>
      </c>
      <c r="B47" s="55"/>
      <c r="C47" s="55"/>
      <c r="D47" s="55"/>
      <c r="E47" s="55"/>
      <c r="F47" s="55"/>
      <c r="G47" s="55"/>
      <c r="H47" s="55" t="s">
        <v>29</v>
      </c>
      <c r="I47" s="55"/>
      <c r="J47" s="115"/>
      <c r="K47" s="55"/>
      <c r="L47" s="109">
        <v>752760</v>
      </c>
    </row>
    <row r="48" spans="1:13">
      <c r="A48" s="55"/>
      <c r="B48" s="55"/>
      <c r="C48" s="55"/>
      <c r="D48" s="55"/>
      <c r="E48" s="55"/>
      <c r="F48" s="55"/>
      <c r="G48" s="55"/>
      <c r="H48" s="55"/>
      <c r="I48" s="55"/>
      <c r="J48" s="115"/>
      <c r="K48" s="55"/>
      <c r="L48" s="109">
        <v>902075</v>
      </c>
    </row>
    <row r="49" spans="1:13">
      <c r="A49" s="82" t="s">
        <v>202</v>
      </c>
      <c r="B49" s="55"/>
      <c r="C49" s="55"/>
      <c r="D49" s="55"/>
      <c r="E49" s="55"/>
      <c r="F49" s="55"/>
      <c r="G49" s="55"/>
      <c r="H49" s="241" t="s">
        <v>194</v>
      </c>
      <c r="I49" s="55"/>
      <c r="J49" s="115"/>
      <c r="K49" s="55"/>
      <c r="L49" s="109">
        <v>504234.65</v>
      </c>
      <c r="M49" s="109">
        <v>8736531.7100000009</v>
      </c>
    </row>
    <row r="50" spans="1:13">
      <c r="A50" s="140" t="s">
        <v>203</v>
      </c>
      <c r="B50" s="55"/>
      <c r="C50" s="55"/>
      <c r="D50" s="55"/>
      <c r="E50" s="55"/>
      <c r="F50" s="55"/>
      <c r="G50" s="55"/>
      <c r="H50" s="140" t="s">
        <v>195</v>
      </c>
      <c r="I50" s="55"/>
      <c r="J50" s="115"/>
      <c r="K50" s="55"/>
      <c r="L50" s="109">
        <v>899145</v>
      </c>
      <c r="M50" s="109">
        <v>10140</v>
      </c>
    </row>
    <row r="51" spans="1:13">
      <c r="A51" s="55"/>
      <c r="B51" s="55"/>
      <c r="C51" s="55"/>
      <c r="D51" s="55"/>
      <c r="E51" s="121" t="s">
        <v>237</v>
      </c>
      <c r="F51" s="55"/>
      <c r="G51" s="55"/>
      <c r="H51" s="55"/>
      <c r="I51" s="55"/>
      <c r="J51" s="115"/>
      <c r="K51" s="55"/>
      <c r="L51" s="109">
        <v>1087927.3999999999</v>
      </c>
      <c r="M51" s="109">
        <f>SUM(M49:M50)</f>
        <v>8746671.7100000009</v>
      </c>
    </row>
    <row r="52" spans="1:13">
      <c r="A52" s="55"/>
      <c r="B52" s="55"/>
      <c r="C52" s="55"/>
      <c r="D52" s="55"/>
      <c r="E52" s="115"/>
      <c r="F52" s="55"/>
      <c r="G52" s="55"/>
      <c r="H52" s="55"/>
      <c r="I52" s="115"/>
      <c r="J52" s="115"/>
      <c r="K52" s="55"/>
      <c r="L52" s="109">
        <v>2896515.5</v>
      </c>
    </row>
    <row r="53" spans="1:13">
      <c r="A53" s="55"/>
      <c r="B53" s="55"/>
      <c r="C53" s="55"/>
      <c r="D53" s="55"/>
      <c r="E53" s="82" t="s">
        <v>149</v>
      </c>
      <c r="F53" s="55"/>
      <c r="G53" s="55"/>
      <c r="H53" s="55"/>
      <c r="I53" s="115"/>
      <c r="J53" s="115"/>
      <c r="K53" s="55"/>
    </row>
    <row r="54" spans="1:13">
      <c r="A54" s="55"/>
      <c r="B54" s="55"/>
      <c r="C54" s="55"/>
      <c r="D54" s="55"/>
      <c r="E54" s="55" t="s">
        <v>238</v>
      </c>
      <c r="F54" s="55"/>
      <c r="G54" s="55"/>
      <c r="H54" s="55"/>
      <c r="I54" s="115"/>
      <c r="J54" s="115"/>
      <c r="K54" s="55"/>
      <c r="L54" s="109">
        <v>120000</v>
      </c>
    </row>
    <row r="55" spans="1:13">
      <c r="I55" s="109"/>
      <c r="M55" s="46"/>
    </row>
    <row r="56" spans="1:13">
      <c r="F56" s="121">
        <f>F18-F57</f>
        <v>1300495.1072999989</v>
      </c>
      <c r="I56" s="109"/>
      <c r="K56" s="55"/>
      <c r="L56" s="115">
        <v>630000</v>
      </c>
      <c r="M56" s="183">
        <v>10644424.82</v>
      </c>
    </row>
    <row r="57" spans="1:13">
      <c r="F57" s="115">
        <f>49980+103610+255752.8+265335+81917.75+32889+315132+287135.25+143400+640002.5</f>
        <v>2175154.2999999998</v>
      </c>
      <c r="I57" s="109"/>
      <c r="J57" s="109">
        <v>7850000</v>
      </c>
      <c r="L57" s="109">
        <v>1000000</v>
      </c>
      <c r="M57" s="183">
        <v>13157941.960000001</v>
      </c>
    </row>
    <row r="58" spans="1:13">
      <c r="I58" s="109"/>
      <c r="J58" s="109">
        <v>800000</v>
      </c>
      <c r="L58" s="109">
        <v>1300000</v>
      </c>
      <c r="M58" s="184">
        <v>0</v>
      </c>
    </row>
    <row r="59" spans="1:13">
      <c r="I59" s="109"/>
      <c r="J59" s="109">
        <v>1200000</v>
      </c>
      <c r="L59" s="109">
        <v>2000000</v>
      </c>
      <c r="M59" s="183">
        <f>SUM(M56:M58)</f>
        <v>23802366.780000001</v>
      </c>
    </row>
    <row r="60" spans="1:13">
      <c r="I60" s="109"/>
      <c r="J60" s="109">
        <v>3500000</v>
      </c>
      <c r="L60" s="109">
        <v>150000</v>
      </c>
      <c r="M60" s="183">
        <v>24092226.780000001</v>
      </c>
    </row>
    <row r="61" spans="1:13">
      <c r="I61" s="109">
        <v>100000</v>
      </c>
      <c r="J61" s="116">
        <f>SUM(J57:J60)</f>
        <v>13350000</v>
      </c>
      <c r="L61" s="109">
        <v>4590281.96</v>
      </c>
      <c r="M61" s="183">
        <f>M60-M59</f>
        <v>289860</v>
      </c>
    </row>
    <row r="62" spans="1:13">
      <c r="I62" s="109">
        <v>4589687.1100000003</v>
      </c>
      <c r="J62" s="109">
        <v>16829861.079999998</v>
      </c>
      <c r="L62" s="109">
        <f>SUM(L56:L61)</f>
        <v>9670281.9600000009</v>
      </c>
      <c r="M62" s="46"/>
    </row>
    <row r="63" spans="1:13">
      <c r="I63" s="116">
        <f>SUM(I57:I62)</f>
        <v>4689687.1100000003</v>
      </c>
      <c r="J63" s="109">
        <f>J61-J62</f>
        <v>-3479861.0799999982</v>
      </c>
      <c r="M63" s="109">
        <v>24416573.030000001</v>
      </c>
    </row>
    <row r="64" spans="1:13">
      <c r="I64" s="109">
        <v>7212797.6100000003</v>
      </c>
      <c r="M64" s="109">
        <v>24708913.030000001</v>
      </c>
    </row>
    <row r="65" spans="1:13">
      <c r="I65" s="109">
        <f>I63-I64</f>
        <v>-2523110.5</v>
      </c>
      <c r="M65" s="109">
        <f>M63-M64</f>
        <v>-292340</v>
      </c>
    </row>
    <row r="66" spans="1:13">
      <c r="I66" s="109"/>
      <c r="M66" s="109">
        <v>289860</v>
      </c>
    </row>
    <row r="67" spans="1:13">
      <c r="I67" s="109"/>
      <c r="J67" s="109">
        <v>25346381.800000001</v>
      </c>
      <c r="M67" s="173">
        <f>SUM(M65:M66)</f>
        <v>-2480</v>
      </c>
    </row>
    <row r="68" spans="1:13">
      <c r="I68" s="109"/>
      <c r="J68" s="109">
        <v>24042658.690000001</v>
      </c>
      <c r="M68" s="46"/>
    </row>
    <row r="69" spans="1:13">
      <c r="I69" s="109"/>
      <c r="J69" s="109">
        <f>J67-J68</f>
        <v>1303723.1099999994</v>
      </c>
      <c r="L69" s="109">
        <v>400000</v>
      </c>
      <c r="M69" s="46"/>
    </row>
    <row r="70" spans="1:13">
      <c r="I70" s="109"/>
      <c r="L70" s="109">
        <v>1000000</v>
      </c>
      <c r="M70" s="109">
        <v>25279.7</v>
      </c>
    </row>
    <row r="71" spans="1:13">
      <c r="I71" s="109"/>
      <c r="M71" s="109">
        <v>27759.7</v>
      </c>
    </row>
    <row r="72" spans="1:13">
      <c r="H72" s="109"/>
      <c r="I72" s="109"/>
      <c r="M72" s="173">
        <f>M70-M71</f>
        <v>-2480</v>
      </c>
    </row>
    <row r="73" spans="1:13">
      <c r="H73" s="109">
        <v>4455551.57</v>
      </c>
      <c r="I73" s="109"/>
      <c r="J73" s="109">
        <v>17496381.800000001</v>
      </c>
      <c r="M73" s="46"/>
    </row>
    <row r="74" spans="1:13">
      <c r="H74" s="109">
        <v>5760963.6399999997</v>
      </c>
      <c r="I74" s="109"/>
      <c r="J74" s="109">
        <v>7850000</v>
      </c>
      <c r="M74" s="46"/>
    </row>
    <row r="75" spans="1:13">
      <c r="H75" s="109">
        <f>SUM(H73:H74)</f>
        <v>10216515.210000001</v>
      </c>
      <c r="I75" s="109"/>
      <c r="J75" s="109">
        <f>SUM(J73:J74)</f>
        <v>25346381.800000001</v>
      </c>
      <c r="M75" s="46"/>
    </row>
    <row r="76" spans="1:13" s="109" customFormat="1">
      <c r="A76" s="46"/>
      <c r="B76" s="46"/>
      <c r="C76" s="46"/>
      <c r="D76" s="46"/>
      <c r="E76" s="46"/>
      <c r="F76" s="46"/>
      <c r="G76" s="46"/>
    </row>
    <row r="77" spans="1:13" s="109" customFormat="1">
      <c r="A77" s="46"/>
      <c r="B77" s="46"/>
      <c r="C77" s="46"/>
      <c r="D77" s="46"/>
      <c r="E77" s="46"/>
      <c r="F77" s="46"/>
      <c r="G77" s="46"/>
    </row>
    <row r="78" spans="1:13" s="109" customFormat="1">
      <c r="A78" s="46"/>
      <c r="B78" s="46"/>
      <c r="C78" s="46"/>
      <c r="D78" s="46"/>
      <c r="E78" s="46"/>
      <c r="F78" s="46"/>
      <c r="G78" s="46"/>
    </row>
    <row r="79" spans="1:13" s="109" customFormat="1">
      <c r="A79" s="46"/>
      <c r="B79" s="46"/>
      <c r="C79" s="46"/>
      <c r="D79" s="46"/>
      <c r="E79" s="46"/>
      <c r="F79" s="46"/>
      <c r="G79" s="46"/>
    </row>
    <row r="80" spans="1:13" s="109" customFormat="1">
      <c r="A80" s="46"/>
      <c r="B80" s="46"/>
      <c r="C80" s="46"/>
      <c r="D80" s="46"/>
      <c r="E80" s="46"/>
      <c r="F80" s="46"/>
      <c r="G80" s="46"/>
    </row>
    <row r="81" spans="1:11" s="109" customFormat="1">
      <c r="A81" s="46"/>
      <c r="B81" s="46"/>
      <c r="C81" s="46"/>
      <c r="D81" s="46"/>
      <c r="E81" s="46"/>
      <c r="F81" s="46"/>
      <c r="G81" s="46"/>
    </row>
    <row r="82" spans="1:11" s="109" customFormat="1">
      <c r="A82" s="46"/>
      <c r="B82" s="46"/>
      <c r="C82" s="46"/>
      <c r="D82" s="46"/>
      <c r="E82" s="46"/>
      <c r="F82" s="46"/>
      <c r="G82" s="46"/>
      <c r="H82" s="46"/>
    </row>
    <row r="83" spans="1:11" s="109" customFormat="1">
      <c r="A83" s="46"/>
      <c r="B83" s="46"/>
      <c r="C83" s="46"/>
      <c r="D83" s="46"/>
      <c r="E83" s="46"/>
      <c r="F83" s="46"/>
      <c r="G83" s="46"/>
      <c r="H83" s="46"/>
    </row>
    <row r="84" spans="1:11" s="109" customFormat="1">
      <c r="A84" s="46"/>
      <c r="B84" s="46"/>
      <c r="C84" s="46"/>
      <c r="D84" s="46"/>
      <c r="E84" s="46"/>
      <c r="F84" s="46"/>
      <c r="G84" s="46"/>
      <c r="H84" s="46"/>
    </row>
    <row r="85" spans="1:11" s="109" customFormat="1">
      <c r="A85" s="46"/>
      <c r="B85" s="46"/>
      <c r="C85" s="46"/>
      <c r="D85" s="46"/>
      <c r="E85" s="46"/>
      <c r="F85" s="46"/>
      <c r="G85" s="46"/>
      <c r="H85" s="46"/>
    </row>
    <row r="86" spans="1:11" s="109" customFormat="1">
      <c r="A86" s="46"/>
      <c r="B86" s="46"/>
      <c r="C86" s="46"/>
      <c r="D86" s="46"/>
      <c r="E86" s="46"/>
      <c r="F86" s="46"/>
      <c r="G86" s="46"/>
      <c r="H86" s="46"/>
      <c r="K86" s="46"/>
    </row>
    <row r="87" spans="1:11" s="109" customFormat="1">
      <c r="A87" s="46"/>
      <c r="B87" s="46"/>
      <c r="C87" s="46"/>
      <c r="D87" s="46"/>
      <c r="E87" s="46"/>
      <c r="F87" s="46"/>
      <c r="G87" s="46"/>
      <c r="H87" s="46"/>
      <c r="K87" s="46"/>
    </row>
    <row r="88" spans="1:11" s="109" customFormat="1">
      <c r="A88" s="46"/>
      <c r="B88" s="46"/>
      <c r="C88" s="46"/>
      <c r="D88" s="46"/>
      <c r="E88" s="46"/>
      <c r="F88" s="46"/>
      <c r="G88" s="46"/>
      <c r="H88" s="46"/>
      <c r="K88" s="46"/>
    </row>
    <row r="89" spans="1:11" s="109" customFormat="1">
      <c r="A89" s="46"/>
      <c r="B89" s="46"/>
      <c r="C89" s="46"/>
      <c r="D89" s="46"/>
      <c r="E89" s="46"/>
      <c r="F89" s="46"/>
      <c r="G89" s="46"/>
      <c r="H89" s="46"/>
      <c r="K89" s="46"/>
    </row>
    <row r="90" spans="1:11" s="109" customFormat="1">
      <c r="A90" s="46"/>
      <c r="B90" s="46"/>
      <c r="C90" s="46"/>
      <c r="D90" s="46"/>
      <c r="E90" s="46"/>
      <c r="F90" s="46"/>
      <c r="G90" s="46"/>
      <c r="H90" s="46"/>
      <c r="K90" s="46"/>
    </row>
    <row r="91" spans="1:11" s="109" customFormat="1">
      <c r="A91" s="46"/>
      <c r="B91" s="46"/>
      <c r="C91" s="46"/>
      <c r="D91" s="46"/>
      <c r="E91" s="46"/>
      <c r="F91" s="46"/>
      <c r="G91" s="46"/>
      <c r="H91" s="46"/>
      <c r="K91" s="46"/>
    </row>
    <row r="92" spans="1:11" s="109" customFormat="1">
      <c r="A92" s="46"/>
      <c r="B92" s="46"/>
      <c r="C92" s="46"/>
      <c r="D92" s="46"/>
      <c r="E92" s="46"/>
      <c r="F92" s="46"/>
      <c r="G92" s="46"/>
      <c r="H92" s="46"/>
      <c r="K92" s="46"/>
    </row>
    <row r="93" spans="1:11" s="109" customFormat="1">
      <c r="A93" s="46"/>
      <c r="B93" s="46"/>
      <c r="C93" s="46"/>
      <c r="D93" s="46"/>
      <c r="E93" s="46"/>
      <c r="F93" s="46"/>
      <c r="G93" s="46"/>
      <c r="H93" s="46"/>
      <c r="K93" s="46"/>
    </row>
    <row r="94" spans="1:11" s="109" customFormat="1">
      <c r="A94" s="46"/>
      <c r="B94" s="46"/>
      <c r="C94" s="46"/>
      <c r="D94" s="46"/>
      <c r="E94" s="46"/>
      <c r="F94" s="46"/>
      <c r="G94" s="46"/>
      <c r="H94" s="46"/>
      <c r="K94" s="46"/>
    </row>
    <row r="95" spans="1:11" s="109" customFormat="1">
      <c r="A95" s="46"/>
      <c r="B95" s="46"/>
      <c r="C95" s="46"/>
      <c r="D95" s="46"/>
      <c r="E95" s="46"/>
      <c r="F95" s="46"/>
      <c r="G95" s="46"/>
      <c r="H95" s="46"/>
      <c r="K95" s="46"/>
    </row>
    <row r="96" spans="1:11" s="109" customFormat="1">
      <c r="A96" s="46"/>
      <c r="B96" s="46"/>
      <c r="C96" s="46"/>
      <c r="D96" s="46"/>
      <c r="E96" s="46"/>
      <c r="F96" s="46"/>
      <c r="G96" s="46"/>
      <c r="H96" s="46"/>
      <c r="K96" s="46"/>
    </row>
    <row r="97" spans="1:11" s="109" customFormat="1">
      <c r="A97" s="46"/>
      <c r="B97" s="46"/>
      <c r="C97" s="46"/>
      <c r="D97" s="46"/>
      <c r="E97" s="46"/>
      <c r="F97" s="46"/>
      <c r="G97" s="46"/>
      <c r="H97" s="46"/>
      <c r="K97" s="46"/>
    </row>
    <row r="98" spans="1:11" s="109" customFormat="1">
      <c r="A98" s="46"/>
      <c r="B98" s="46"/>
      <c r="C98" s="46"/>
      <c r="D98" s="46"/>
      <c r="E98" s="46"/>
      <c r="F98" s="46"/>
      <c r="G98" s="46"/>
      <c r="H98" s="46"/>
      <c r="K98" s="46"/>
    </row>
  </sheetData>
  <mergeCells count="3">
    <mergeCell ref="A2:J2"/>
    <mergeCell ref="A3:J3"/>
    <mergeCell ref="A4:J4"/>
  </mergeCells>
  <printOptions horizontalCentered="1"/>
  <pageMargins left="0.02" right="0.15" top="0.39" bottom="0.1" header="0.21" footer="0.1"/>
  <pageSetup scale="84" orientation="portrait" horizontalDpi="4294967293" verticalDpi="30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M98"/>
  <sheetViews>
    <sheetView workbookViewId="0">
      <selection activeCell="M19" sqref="M19"/>
    </sheetView>
  </sheetViews>
  <sheetFormatPr defaultRowHeight="12.75"/>
  <cols>
    <col min="1" max="1" width="6" style="46" customWidth="1"/>
    <col min="2" max="3" width="9.140625" style="46"/>
    <col min="4" max="4" width="16.5703125" style="46" customWidth="1"/>
    <col min="5" max="6" width="13.85546875" style="46" customWidth="1"/>
    <col min="7" max="7" width="10" style="46" customWidth="1"/>
    <col min="8" max="8" width="11.5703125" style="46" customWidth="1"/>
    <col min="9" max="9" width="11.42578125" style="46" customWidth="1"/>
    <col min="10" max="10" width="13.28515625" style="109" customWidth="1"/>
    <col min="11" max="11" width="15.7109375" style="46" customWidth="1"/>
    <col min="12" max="12" width="16.85546875" style="109" customWidth="1"/>
    <col min="13" max="13" width="17" style="109" customWidth="1"/>
    <col min="14" max="14" width="17" style="46" customWidth="1"/>
    <col min="15" max="16384" width="9.140625" style="46"/>
  </cols>
  <sheetData>
    <row r="1" spans="1:13">
      <c r="A1" s="47"/>
      <c r="B1" s="48"/>
      <c r="C1" s="48"/>
      <c r="D1" s="48"/>
      <c r="E1" s="48"/>
      <c r="F1" s="48"/>
      <c r="G1" s="48"/>
      <c r="H1" s="48"/>
      <c r="I1" s="48"/>
      <c r="J1" s="169" t="s">
        <v>81</v>
      </c>
    </row>
    <row r="2" spans="1:13">
      <c r="A2" s="389" t="s">
        <v>80</v>
      </c>
      <c r="B2" s="390"/>
      <c r="C2" s="390"/>
      <c r="D2" s="390"/>
      <c r="E2" s="390"/>
      <c r="F2" s="390"/>
      <c r="G2" s="390"/>
      <c r="H2" s="390"/>
      <c r="I2" s="390"/>
      <c r="J2" s="391"/>
    </row>
    <row r="3" spans="1:13">
      <c r="A3" s="389" t="s">
        <v>247</v>
      </c>
      <c r="B3" s="390"/>
      <c r="C3" s="390"/>
      <c r="D3" s="390"/>
      <c r="E3" s="390"/>
      <c r="F3" s="390"/>
      <c r="G3" s="390"/>
      <c r="H3" s="390"/>
      <c r="I3" s="390"/>
      <c r="J3" s="391"/>
    </row>
    <row r="4" spans="1:13">
      <c r="A4" s="389"/>
      <c r="B4" s="390"/>
      <c r="C4" s="390"/>
      <c r="D4" s="390"/>
      <c r="E4" s="390"/>
      <c r="F4" s="390"/>
      <c r="G4" s="390"/>
      <c r="H4" s="390"/>
      <c r="I4" s="390"/>
      <c r="J4" s="391"/>
    </row>
    <row r="5" spans="1:13">
      <c r="A5" s="54" t="s">
        <v>77</v>
      </c>
      <c r="B5" s="236"/>
      <c r="C5" s="236"/>
      <c r="D5" s="236"/>
      <c r="E5" s="236"/>
      <c r="F5" s="236"/>
      <c r="G5" s="236"/>
      <c r="H5" s="236"/>
      <c r="I5" s="236"/>
      <c r="J5" s="170"/>
    </row>
    <row r="6" spans="1:13">
      <c r="A6" s="54" t="s">
        <v>76</v>
      </c>
      <c r="B6" s="55"/>
      <c r="C6" s="55"/>
      <c r="D6" s="55"/>
      <c r="E6" s="55"/>
      <c r="F6" s="55"/>
      <c r="G6" s="55"/>
      <c r="H6" s="55"/>
      <c r="I6" s="55"/>
      <c r="J6" s="171"/>
      <c r="K6" s="46" t="s">
        <v>210</v>
      </c>
    </row>
    <row r="7" spans="1:13">
      <c r="A7" s="47"/>
      <c r="B7" s="48"/>
      <c r="C7" s="48"/>
      <c r="D7" s="49"/>
      <c r="E7" s="88" t="s">
        <v>8</v>
      </c>
      <c r="F7" s="50"/>
      <c r="G7" s="52"/>
      <c r="H7" s="52"/>
      <c r="I7" s="53"/>
      <c r="J7" s="110"/>
    </row>
    <row r="8" spans="1:13">
      <c r="A8" s="54"/>
      <c r="B8" s="55"/>
      <c r="C8" s="55"/>
      <c r="D8" s="56"/>
      <c r="E8" s="235" t="s">
        <v>9</v>
      </c>
      <c r="F8" s="53"/>
      <c r="G8" s="59"/>
      <c r="H8" s="59"/>
      <c r="I8" s="58"/>
      <c r="J8" s="111"/>
    </row>
    <row r="9" spans="1:13">
      <c r="A9" s="61" t="s">
        <v>68</v>
      </c>
      <c r="B9" s="55"/>
      <c r="C9" s="55"/>
      <c r="D9" s="56"/>
      <c r="E9" s="235" t="s">
        <v>10</v>
      </c>
      <c r="F9" s="60" t="s">
        <v>12</v>
      </c>
      <c r="G9" s="60" t="s">
        <v>14</v>
      </c>
      <c r="H9" s="60" t="s">
        <v>20</v>
      </c>
      <c r="I9" s="60" t="s">
        <v>22</v>
      </c>
      <c r="J9" s="112" t="s">
        <v>24</v>
      </c>
    </row>
    <row r="10" spans="1:13">
      <c r="A10" s="54"/>
      <c r="B10" s="55"/>
      <c r="C10" s="55"/>
      <c r="D10" s="56"/>
      <c r="E10" s="235" t="s">
        <v>11</v>
      </c>
      <c r="F10" s="60" t="s">
        <v>13</v>
      </c>
      <c r="G10" s="59"/>
      <c r="H10" s="60" t="s">
        <v>21</v>
      </c>
      <c r="I10" s="60" t="s">
        <v>23</v>
      </c>
      <c r="J10" s="111"/>
    </row>
    <row r="11" spans="1:13">
      <c r="A11" s="62"/>
      <c r="B11" s="63"/>
      <c r="C11" s="63"/>
      <c r="D11" s="64"/>
      <c r="E11" s="65">
        <v>0.3</v>
      </c>
      <c r="F11" s="66">
        <v>0.7</v>
      </c>
      <c r="G11" s="59"/>
      <c r="H11" s="67"/>
      <c r="I11" s="68"/>
      <c r="J11" s="113"/>
    </row>
    <row r="12" spans="1:13" ht="18" customHeight="1">
      <c r="A12" s="70" t="s">
        <v>0</v>
      </c>
      <c r="B12" s="71"/>
      <c r="C12" s="71"/>
      <c r="D12" s="72"/>
      <c r="E12" s="51"/>
      <c r="F12" s="51"/>
      <c r="G12" s="51"/>
      <c r="H12" s="51"/>
      <c r="I12" s="51"/>
      <c r="J12" s="110"/>
      <c r="L12" s="118" t="s">
        <v>90</v>
      </c>
      <c r="M12" s="118" t="s">
        <v>89</v>
      </c>
    </row>
    <row r="13" spans="1:13" ht="18" customHeight="1">
      <c r="A13" s="73" t="s">
        <v>1</v>
      </c>
      <c r="B13" s="72"/>
      <c r="C13" s="72"/>
      <c r="D13" s="72"/>
      <c r="E13" s="94">
        <f>M19*0.3</f>
        <v>598398.84599999967</v>
      </c>
      <c r="F13" s="94">
        <f>M19*0.7</f>
        <v>1396263.9739999992</v>
      </c>
      <c r="G13" s="94"/>
      <c r="H13" s="94"/>
      <c r="I13" s="94"/>
      <c r="J13" s="114">
        <f>SUM(E13:I13)</f>
        <v>1994662.8199999989</v>
      </c>
      <c r="K13" s="175" t="e">
        <f>SUM(J13+#REF!+#REF!+#REF!+#REF!+#REF!+#REF!+#REF!+#REF!+#REF!+#REF!+#REF!)</f>
        <v>#REF!</v>
      </c>
      <c r="L13" s="109">
        <v>21367644.399999999</v>
      </c>
      <c r="M13" s="109">
        <v>4171566.4</v>
      </c>
    </row>
    <row r="14" spans="1:13" ht="18" customHeight="1">
      <c r="A14" s="73" t="s">
        <v>2</v>
      </c>
      <c r="B14" s="72"/>
      <c r="C14" s="72"/>
      <c r="D14" s="72"/>
      <c r="E14" s="102"/>
      <c r="F14" s="102"/>
      <c r="G14" s="102"/>
      <c r="H14" s="102"/>
      <c r="I14" s="102"/>
      <c r="J14" s="110">
        <f>SUM(E14:I14)</f>
        <v>0</v>
      </c>
      <c r="K14" s="117" t="s">
        <v>88</v>
      </c>
      <c r="L14" s="109">
        <v>9400000</v>
      </c>
      <c r="M14" s="109">
        <v>5637398.9699999997</v>
      </c>
    </row>
    <row r="15" spans="1:13" ht="18" customHeight="1">
      <c r="A15" s="75" t="s">
        <v>3</v>
      </c>
      <c r="B15" s="48"/>
      <c r="C15" s="48"/>
      <c r="D15" s="48"/>
      <c r="E15" s="102"/>
      <c r="F15" s="102"/>
      <c r="G15" s="102"/>
      <c r="H15" s="102"/>
      <c r="I15" s="102"/>
      <c r="J15" s="110"/>
      <c r="L15" s="116">
        <f>SUM(L13:L14)</f>
        <v>30767644.399999999</v>
      </c>
      <c r="M15" s="116">
        <f>SUM(M13:M14)</f>
        <v>9808965.3699999992</v>
      </c>
    </row>
    <row r="16" spans="1:13" ht="18" customHeight="1">
      <c r="A16" s="76" t="s">
        <v>78</v>
      </c>
      <c r="B16" s="55"/>
      <c r="C16" s="55"/>
      <c r="D16" s="55"/>
      <c r="E16" s="103"/>
      <c r="F16" s="103"/>
      <c r="G16" s="103"/>
      <c r="H16" s="103"/>
      <c r="I16" s="103"/>
      <c r="J16" s="113">
        <f>SUM(E16:I16)</f>
        <v>0</v>
      </c>
      <c r="K16" s="46">
        <v>11930281.960000001</v>
      </c>
    </row>
    <row r="17" spans="1:13" ht="18" customHeight="1">
      <c r="A17" s="77" t="s">
        <v>79</v>
      </c>
      <c r="B17" s="72"/>
      <c r="C17" s="72"/>
      <c r="D17" s="72"/>
      <c r="E17" s="94"/>
      <c r="F17" s="94"/>
      <c r="G17" s="94"/>
      <c r="H17" s="94"/>
      <c r="I17" s="94"/>
      <c r="J17" s="113">
        <f>SUM(E17:I17)</f>
        <v>0</v>
      </c>
      <c r="K17" s="173">
        <f>K16-J16</f>
        <v>11930281.960000001</v>
      </c>
      <c r="M17" s="109">
        <v>25936573.030000001</v>
      </c>
    </row>
    <row r="18" spans="1:13" ht="18" customHeight="1">
      <c r="A18" s="70" t="s">
        <v>7</v>
      </c>
      <c r="B18" s="72"/>
      <c r="C18" s="72"/>
      <c r="D18" s="72"/>
      <c r="E18" s="119">
        <f>SUM(E13:E17)</f>
        <v>598398.84599999967</v>
      </c>
      <c r="F18" s="119">
        <f t="shared" ref="F18:J18" si="0">SUM(F13:F17)</f>
        <v>1396263.9739999992</v>
      </c>
      <c r="G18" s="119">
        <f t="shared" si="0"/>
        <v>0</v>
      </c>
      <c r="H18" s="119">
        <f t="shared" si="0"/>
        <v>0</v>
      </c>
      <c r="I18" s="119">
        <f t="shared" si="0"/>
        <v>0</v>
      </c>
      <c r="J18" s="119">
        <f t="shared" si="0"/>
        <v>1994662.8199999989</v>
      </c>
      <c r="K18" s="166">
        <f t="shared" ref="K18:K44" si="1">SUM(E18:I18)</f>
        <v>1994662.8199999989</v>
      </c>
      <c r="L18" s="193" t="s">
        <v>171</v>
      </c>
      <c r="M18" s="192">
        <f>346933147.5-307039891.1</f>
        <v>39893256.399999976</v>
      </c>
    </row>
    <row r="19" spans="1:13" s="109" customFormat="1" ht="18" customHeight="1">
      <c r="A19" s="74" t="s">
        <v>99</v>
      </c>
      <c r="B19" s="72" t="s">
        <v>100</v>
      </c>
      <c r="C19" s="72"/>
      <c r="D19" s="72"/>
      <c r="E19" s="94">
        <f>SUM('DRRM Funds May2015 Rev '!E45)</f>
        <v>13875731.565649999</v>
      </c>
      <c r="F19" s="94">
        <f>SUM('DRRM Funds May2015 Rev '!F45)</f>
        <v>20100023.559849996</v>
      </c>
      <c r="G19" s="94">
        <f>SUM('DRRM Funds May2015 Rev '!G45)</f>
        <v>0</v>
      </c>
      <c r="H19" s="94">
        <f>SUM('DRRM Funds May2015 Rev '!H45)</f>
        <v>0</v>
      </c>
      <c r="I19" s="94">
        <f>SUM('DRRM Funds May2015 Rev '!I45)</f>
        <v>0</v>
      </c>
      <c r="J19" s="94">
        <f>SUM('DRRM Funds May2015 Rev '!J45)</f>
        <v>33975755.125499994</v>
      </c>
      <c r="K19" s="166">
        <f t="shared" si="1"/>
        <v>33975755.125499994</v>
      </c>
      <c r="L19" s="194">
        <v>0.05</v>
      </c>
      <c r="M19" s="262">
        <f>M18*0.05</f>
        <v>1994662.8199999989</v>
      </c>
    </row>
    <row r="20" spans="1:13" s="109" customFormat="1" ht="18" customHeight="1">
      <c r="A20" s="70" t="s">
        <v>101</v>
      </c>
      <c r="B20" s="122"/>
      <c r="C20" s="72"/>
      <c r="D20" s="72"/>
      <c r="E20" s="119">
        <f>SUM(E18:E19)</f>
        <v>14474130.411649998</v>
      </c>
      <c r="F20" s="119">
        <f t="shared" ref="F20:J20" si="2">SUM(F18:F19)</f>
        <v>21496287.533849996</v>
      </c>
      <c r="G20" s="119">
        <f t="shared" si="2"/>
        <v>0</v>
      </c>
      <c r="H20" s="119">
        <f t="shared" si="2"/>
        <v>0</v>
      </c>
      <c r="I20" s="119">
        <f t="shared" si="2"/>
        <v>0</v>
      </c>
      <c r="J20" s="119">
        <f t="shared" si="2"/>
        <v>35970417.945499994</v>
      </c>
      <c r="K20" s="166">
        <f t="shared" si="1"/>
        <v>35970417.945499994</v>
      </c>
    </row>
    <row r="21" spans="1:13" ht="18" customHeight="1">
      <c r="A21" s="70" t="s">
        <v>15</v>
      </c>
      <c r="B21" s="72"/>
      <c r="C21" s="72"/>
      <c r="D21" s="72"/>
      <c r="E21" s="94"/>
      <c r="F21" s="94"/>
      <c r="G21" s="94"/>
      <c r="H21" s="94"/>
      <c r="I21" s="94"/>
      <c r="J21" s="114"/>
      <c r="K21" s="166">
        <f t="shared" si="1"/>
        <v>0</v>
      </c>
      <c r="M21" s="109">
        <v>26972032.48</v>
      </c>
    </row>
    <row r="22" spans="1:13" ht="18" customHeight="1">
      <c r="A22" s="78" t="s">
        <v>206</v>
      </c>
      <c r="B22" s="72"/>
      <c r="C22" s="72"/>
      <c r="D22" s="72"/>
      <c r="E22" s="94"/>
      <c r="F22" s="94"/>
      <c r="G22" s="94"/>
      <c r="H22" s="94"/>
      <c r="I22" s="94"/>
      <c r="J22" s="114">
        <f>SUM(E22:I22)</f>
        <v>0</v>
      </c>
      <c r="K22" s="166"/>
    </row>
    <row r="23" spans="1:13" ht="18" customHeight="1">
      <c r="A23" s="78" t="s">
        <v>207</v>
      </c>
      <c r="B23" s="72"/>
      <c r="C23" s="72"/>
      <c r="D23" s="72"/>
      <c r="E23" s="94"/>
      <c r="F23" s="94"/>
      <c r="G23" s="94"/>
      <c r="H23" s="94"/>
      <c r="I23" s="94"/>
      <c r="J23" s="114">
        <f t="shared" ref="J23:J38" si="3">SUM(E23:I23)</f>
        <v>0</v>
      </c>
      <c r="K23" s="166"/>
    </row>
    <row r="24" spans="1:13" ht="18" customHeight="1">
      <c r="A24" s="78" t="s">
        <v>228</v>
      </c>
      <c r="B24" s="72"/>
      <c r="C24" s="72"/>
      <c r="D24" s="72"/>
      <c r="E24" s="94"/>
      <c r="F24" s="94"/>
      <c r="G24" s="94"/>
      <c r="H24" s="94"/>
      <c r="I24" s="94"/>
      <c r="J24" s="114">
        <f t="shared" si="3"/>
        <v>0</v>
      </c>
      <c r="K24" s="166">
        <f t="shared" si="1"/>
        <v>0</v>
      </c>
      <c r="L24" s="176">
        <f>518731460.56*0.05</f>
        <v>25936573.028000001</v>
      </c>
      <c r="M24" s="109">
        <v>125607.13</v>
      </c>
    </row>
    <row r="25" spans="1:13" ht="18" customHeight="1">
      <c r="A25" s="78" t="s">
        <v>229</v>
      </c>
      <c r="B25" s="72"/>
      <c r="C25" s="72"/>
      <c r="D25" s="72"/>
      <c r="E25" s="94"/>
      <c r="F25" s="94"/>
      <c r="G25" s="94"/>
      <c r="H25" s="94"/>
      <c r="I25" s="94"/>
      <c r="J25" s="114">
        <f t="shared" si="3"/>
        <v>0</v>
      </c>
      <c r="K25" s="166"/>
      <c r="L25" s="228"/>
    </row>
    <row r="26" spans="1:13" ht="18" customHeight="1">
      <c r="A26" s="78" t="s">
        <v>70</v>
      </c>
      <c r="B26" s="72"/>
      <c r="C26" s="72"/>
      <c r="D26" s="72"/>
      <c r="E26" s="94"/>
      <c r="F26" s="94">
        <v>8400</v>
      </c>
      <c r="G26" s="94"/>
      <c r="H26" s="94"/>
      <c r="I26" s="94"/>
      <c r="J26" s="114">
        <f t="shared" si="3"/>
        <v>8400</v>
      </c>
      <c r="K26" s="166">
        <f t="shared" si="1"/>
        <v>8400</v>
      </c>
      <c r="L26" s="109" t="e">
        <f>L24-K13</f>
        <v>#REF!</v>
      </c>
      <c r="M26" s="109">
        <v>510000</v>
      </c>
    </row>
    <row r="27" spans="1:13" ht="18" customHeight="1">
      <c r="A27" s="78" t="s">
        <v>71</v>
      </c>
      <c r="B27" s="72"/>
      <c r="C27" s="72"/>
      <c r="D27" s="72"/>
      <c r="E27" s="94"/>
      <c r="F27" s="94">
        <v>474632.51</v>
      </c>
      <c r="G27" s="94"/>
      <c r="H27" s="94"/>
      <c r="I27" s="94"/>
      <c r="J27" s="114">
        <f t="shared" si="3"/>
        <v>474632.51</v>
      </c>
      <c r="K27" s="166">
        <f t="shared" si="1"/>
        <v>474632.51</v>
      </c>
      <c r="M27" s="109">
        <v>1430000</v>
      </c>
    </row>
    <row r="28" spans="1:13" ht="18" customHeight="1">
      <c r="A28" s="79" t="s">
        <v>91</v>
      </c>
      <c r="B28" s="72"/>
      <c r="C28" s="72"/>
      <c r="D28" s="72"/>
      <c r="E28" s="94"/>
      <c r="F28" s="94"/>
      <c r="G28" s="94"/>
      <c r="H28" s="94"/>
      <c r="I28" s="94"/>
      <c r="J28" s="114">
        <f t="shared" si="3"/>
        <v>0</v>
      </c>
      <c r="K28" s="166">
        <f t="shared" si="1"/>
        <v>0</v>
      </c>
      <c r="M28" s="109">
        <v>4285413.1100000003</v>
      </c>
    </row>
    <row r="29" spans="1:13" ht="18" customHeight="1">
      <c r="A29" s="78" t="s">
        <v>17</v>
      </c>
      <c r="B29" s="72"/>
      <c r="C29" s="72"/>
      <c r="D29" s="72"/>
      <c r="E29" s="94"/>
      <c r="F29" s="94"/>
      <c r="G29" s="94"/>
      <c r="H29" s="94"/>
      <c r="I29" s="94"/>
      <c r="J29" s="114">
        <f t="shared" si="3"/>
        <v>0</v>
      </c>
      <c r="K29" s="166">
        <f t="shared" si="1"/>
        <v>0</v>
      </c>
      <c r="M29" s="109">
        <v>3777930</v>
      </c>
    </row>
    <row r="30" spans="1:13" ht="18" customHeight="1">
      <c r="A30" s="78" t="s">
        <v>227</v>
      </c>
      <c r="B30" s="72"/>
      <c r="C30" s="72"/>
      <c r="D30" s="72"/>
      <c r="E30" s="94"/>
      <c r="F30" s="94"/>
      <c r="G30" s="94"/>
      <c r="H30" s="94"/>
      <c r="I30" s="94"/>
      <c r="J30" s="114">
        <f t="shared" si="3"/>
        <v>0</v>
      </c>
      <c r="K30" s="166">
        <f t="shared" si="1"/>
        <v>0</v>
      </c>
      <c r="L30" s="118" t="s">
        <v>162</v>
      </c>
      <c r="M30" s="109">
        <v>100</v>
      </c>
    </row>
    <row r="31" spans="1:13" ht="18" customHeight="1">
      <c r="A31" s="78" t="s">
        <v>213</v>
      </c>
      <c r="B31" s="72"/>
      <c r="C31" s="72"/>
      <c r="D31" s="72"/>
      <c r="E31" s="94"/>
      <c r="F31" s="94"/>
      <c r="G31" s="94"/>
      <c r="H31" s="94"/>
      <c r="I31" s="94"/>
      <c r="J31" s="114">
        <f t="shared" si="3"/>
        <v>0</v>
      </c>
      <c r="K31" s="166"/>
      <c r="L31" s="118"/>
      <c r="M31" s="109">
        <f>SUM(M24:M30)</f>
        <v>10129050.24</v>
      </c>
    </row>
    <row r="32" spans="1:13" ht="18" customHeight="1">
      <c r="A32" s="78" t="s">
        <v>214</v>
      </c>
      <c r="B32" s="72"/>
      <c r="C32" s="72"/>
      <c r="D32" s="72"/>
      <c r="E32" s="94"/>
      <c r="F32" s="94">
        <v>96000</v>
      </c>
      <c r="G32" s="94"/>
      <c r="H32" s="94"/>
      <c r="I32" s="94"/>
      <c r="J32" s="114">
        <f t="shared" si="3"/>
        <v>96000</v>
      </c>
      <c r="K32" s="227" t="s">
        <v>226</v>
      </c>
      <c r="L32" s="118"/>
    </row>
    <row r="33" spans="1:13" ht="18" customHeight="1">
      <c r="A33" s="78" t="s">
        <v>102</v>
      </c>
      <c r="B33" s="72"/>
      <c r="C33" s="72"/>
      <c r="D33" s="72"/>
      <c r="E33" s="94"/>
      <c r="F33" s="94"/>
      <c r="G33" s="94"/>
      <c r="H33" s="94"/>
      <c r="I33" s="94"/>
      <c r="J33" s="114">
        <f t="shared" si="3"/>
        <v>0</v>
      </c>
      <c r="K33" s="226">
        <f t="shared" si="1"/>
        <v>0</v>
      </c>
      <c r="L33" s="109">
        <f>SUM(F30:F33)</f>
        <v>96000</v>
      </c>
    </row>
    <row r="34" spans="1:13" ht="18" customHeight="1">
      <c r="A34" s="78" t="s">
        <v>19</v>
      </c>
      <c r="B34" s="72"/>
      <c r="C34" s="72"/>
      <c r="D34" s="72"/>
      <c r="E34" s="94"/>
      <c r="F34" s="94"/>
      <c r="G34" s="94"/>
      <c r="H34" s="94"/>
      <c r="I34" s="94"/>
      <c r="J34" s="114">
        <f t="shared" si="3"/>
        <v>0</v>
      </c>
      <c r="K34" s="166">
        <f t="shared" si="1"/>
        <v>0</v>
      </c>
      <c r="L34" s="109">
        <v>147060</v>
      </c>
    </row>
    <row r="35" spans="1:13" ht="18" customHeight="1">
      <c r="A35" s="78" t="s">
        <v>168</v>
      </c>
      <c r="B35" s="72"/>
      <c r="C35" s="72"/>
      <c r="D35" s="72"/>
      <c r="E35" s="94"/>
      <c r="F35" s="94"/>
      <c r="G35" s="94"/>
      <c r="H35" s="94"/>
      <c r="I35" s="94"/>
      <c r="J35" s="114">
        <f t="shared" si="3"/>
        <v>0</v>
      </c>
      <c r="K35" s="166">
        <f t="shared" si="1"/>
        <v>0</v>
      </c>
    </row>
    <row r="36" spans="1:13" ht="18" customHeight="1">
      <c r="A36" s="78" t="s">
        <v>208</v>
      </c>
      <c r="B36" s="72"/>
      <c r="C36" s="72"/>
      <c r="D36" s="72"/>
      <c r="E36" s="94"/>
      <c r="F36" s="94"/>
      <c r="G36" s="94"/>
      <c r="H36" s="94"/>
      <c r="I36" s="94"/>
      <c r="J36" s="114">
        <f t="shared" si="3"/>
        <v>0</v>
      </c>
      <c r="K36" s="166">
        <f t="shared" si="1"/>
        <v>0</v>
      </c>
      <c r="L36" s="109">
        <v>1555500</v>
      </c>
    </row>
    <row r="37" spans="1:13" ht="18" customHeight="1">
      <c r="A37" s="78"/>
      <c r="B37" s="72" t="s">
        <v>209</v>
      </c>
      <c r="C37" s="72"/>
      <c r="D37" s="72"/>
      <c r="E37" s="94"/>
      <c r="F37" s="94"/>
      <c r="G37" s="94"/>
      <c r="H37" s="94"/>
      <c r="I37" s="94"/>
      <c r="J37" s="114">
        <f t="shared" si="3"/>
        <v>0</v>
      </c>
      <c r="K37" s="166">
        <f t="shared" si="1"/>
        <v>0</v>
      </c>
      <c r="L37" s="109">
        <v>2209000</v>
      </c>
    </row>
    <row r="38" spans="1:13" ht="18" customHeight="1">
      <c r="A38" s="78" t="s">
        <v>244</v>
      </c>
      <c r="B38" s="72"/>
      <c r="C38" s="72"/>
      <c r="D38" s="72"/>
      <c r="E38" s="94"/>
      <c r="F38" s="94">
        <v>23020</v>
      </c>
      <c r="G38" s="94"/>
      <c r="H38" s="94"/>
      <c r="I38" s="94"/>
      <c r="J38" s="114">
        <f t="shared" si="3"/>
        <v>23020</v>
      </c>
      <c r="K38" s="166">
        <f t="shared" si="1"/>
        <v>23020</v>
      </c>
      <c r="L38" s="109">
        <v>173800</v>
      </c>
    </row>
    <row r="39" spans="1:13" ht="18" customHeight="1">
      <c r="A39" s="79" t="s">
        <v>94</v>
      </c>
      <c r="B39" s="72"/>
      <c r="C39" s="72"/>
      <c r="D39" s="72"/>
      <c r="E39" s="94"/>
      <c r="F39" s="94"/>
      <c r="G39" s="94"/>
      <c r="H39" s="94"/>
      <c r="I39" s="94"/>
      <c r="J39" s="114">
        <f t="shared" ref="J39:J41" si="4">SUM(E39:I39)</f>
        <v>0</v>
      </c>
      <c r="K39" s="166">
        <f t="shared" si="1"/>
        <v>0</v>
      </c>
      <c r="L39" s="109">
        <v>177000</v>
      </c>
    </row>
    <row r="40" spans="1:13" ht="18" customHeight="1">
      <c r="A40" s="79" t="s">
        <v>95</v>
      </c>
      <c r="B40" s="72"/>
      <c r="C40" s="72"/>
      <c r="D40" s="72"/>
      <c r="E40" s="94"/>
      <c r="F40" s="94"/>
      <c r="G40" s="94"/>
      <c r="H40" s="94"/>
      <c r="I40" s="94"/>
      <c r="J40" s="114">
        <f t="shared" si="4"/>
        <v>0</v>
      </c>
      <c r="K40" s="166">
        <f t="shared" si="1"/>
        <v>0</v>
      </c>
      <c r="L40" s="109">
        <v>204055</v>
      </c>
    </row>
    <row r="41" spans="1:13" ht="18" customHeight="1">
      <c r="A41" s="78" t="s">
        <v>96</v>
      </c>
      <c r="B41" s="72"/>
      <c r="C41" s="72"/>
      <c r="D41" s="72"/>
      <c r="E41" s="94"/>
      <c r="F41" s="94"/>
      <c r="G41" s="94"/>
      <c r="H41" s="94"/>
      <c r="I41" s="94"/>
      <c r="J41" s="114">
        <f t="shared" si="4"/>
        <v>0</v>
      </c>
      <c r="K41" s="166">
        <f t="shared" si="1"/>
        <v>0</v>
      </c>
      <c r="L41" s="109">
        <v>71070</v>
      </c>
    </row>
    <row r="42" spans="1:13" ht="18" customHeight="1">
      <c r="A42" s="84" t="s">
        <v>92</v>
      </c>
      <c r="B42" s="63"/>
      <c r="C42" s="63"/>
      <c r="D42" s="63"/>
      <c r="E42" s="94">
        <f t="shared" ref="E42:J42" si="5">SUM(E22:E41)</f>
        <v>0</v>
      </c>
      <c r="F42" s="94">
        <f t="shared" si="5"/>
        <v>602052.51</v>
      </c>
      <c r="G42" s="94">
        <f t="shared" si="5"/>
        <v>0</v>
      </c>
      <c r="H42" s="94">
        <f t="shared" si="5"/>
        <v>0</v>
      </c>
      <c r="I42" s="94">
        <f t="shared" si="5"/>
        <v>0</v>
      </c>
      <c r="J42" s="94">
        <f t="shared" si="5"/>
        <v>602052.51</v>
      </c>
      <c r="K42" s="166">
        <f t="shared" si="1"/>
        <v>602052.51</v>
      </c>
      <c r="L42" s="109">
        <v>27800</v>
      </c>
      <c r="M42" s="46"/>
    </row>
    <row r="43" spans="1:13" ht="18" customHeight="1">
      <c r="A43" s="84" t="s">
        <v>103</v>
      </c>
      <c r="B43" s="63"/>
      <c r="C43" s="63"/>
      <c r="D43" s="63"/>
      <c r="E43" s="103">
        <f>SUM('DRRM Funds May2015 Rev '!E44)</f>
        <v>0</v>
      </c>
      <c r="F43" s="103">
        <f>SUM('DRRM Funds May2015 Rev '!F44)</f>
        <v>12673220.489999998</v>
      </c>
      <c r="G43" s="103">
        <f>SUM('DRRM Funds May2015 Rev '!G44)</f>
        <v>0</v>
      </c>
      <c r="H43" s="103">
        <f>SUM('DRRM Funds May2015 Rev '!H44)</f>
        <v>0</v>
      </c>
      <c r="I43" s="103">
        <f>SUM('DRRM Funds May2015 Rev '!I44)</f>
        <v>0</v>
      </c>
      <c r="J43" s="103">
        <f>SUM('DRRM Funds May2015 Rev '!J44)</f>
        <v>12673220.489999998</v>
      </c>
      <c r="K43" s="166">
        <f t="shared" si="1"/>
        <v>12673220.489999998</v>
      </c>
      <c r="L43" s="109">
        <v>126865</v>
      </c>
      <c r="M43" s="109">
        <f>SUM(E43:H43)</f>
        <v>12673220.489999998</v>
      </c>
    </row>
    <row r="44" spans="1:13" ht="18" customHeight="1">
      <c r="A44" s="84" t="s">
        <v>104</v>
      </c>
      <c r="B44" s="63"/>
      <c r="C44" s="63"/>
      <c r="D44" s="63"/>
      <c r="E44" s="103">
        <f>SUM(E42:E43)</f>
        <v>0</v>
      </c>
      <c r="F44" s="103">
        <f>SUM(F42:F43)</f>
        <v>13275272.999999998</v>
      </c>
      <c r="G44" s="103">
        <f t="shared" ref="G44:J44" si="6">SUM(G42:G43)</f>
        <v>0</v>
      </c>
      <c r="H44" s="103">
        <f t="shared" si="6"/>
        <v>0</v>
      </c>
      <c r="I44" s="103">
        <f t="shared" si="6"/>
        <v>0</v>
      </c>
      <c r="J44" s="103">
        <f t="shared" si="6"/>
        <v>13275272.999999998</v>
      </c>
      <c r="K44" s="166">
        <f t="shared" si="1"/>
        <v>13275272.999999998</v>
      </c>
      <c r="L44" s="174">
        <f>SUM(L33:L43)</f>
        <v>4788150</v>
      </c>
      <c r="M44" s="109">
        <v>10492358.970000001</v>
      </c>
    </row>
    <row r="45" spans="1:13" ht="18" customHeight="1">
      <c r="A45" s="70" t="s">
        <v>93</v>
      </c>
      <c r="B45" s="72"/>
      <c r="C45" s="72"/>
      <c r="D45" s="80"/>
      <c r="E45" s="231">
        <f t="shared" ref="E45:J45" si="7">E20-E42</f>
        <v>14474130.411649998</v>
      </c>
      <c r="F45" s="231">
        <f t="shared" si="7"/>
        <v>20894235.023849994</v>
      </c>
      <c r="G45" s="231">
        <f t="shared" si="7"/>
        <v>0</v>
      </c>
      <c r="H45" s="231">
        <f t="shared" si="7"/>
        <v>0</v>
      </c>
      <c r="I45" s="231">
        <f t="shared" si="7"/>
        <v>0</v>
      </c>
      <c r="J45" s="231">
        <f t="shared" si="7"/>
        <v>35368365.435499996</v>
      </c>
      <c r="K45" s="166">
        <f>SUM(E45:I45)</f>
        <v>35368365.435499996</v>
      </c>
      <c r="L45" s="46"/>
      <c r="M45" s="109">
        <f>M44-L44</f>
        <v>5704208.9700000007</v>
      </c>
    </row>
    <row r="46" spans="1:13" ht="18" customHeight="1">
      <c r="A46" s="55"/>
      <c r="B46" s="55"/>
      <c r="C46" s="55"/>
      <c r="D46" s="55"/>
      <c r="E46" s="55"/>
      <c r="F46" s="55"/>
      <c r="G46" s="55"/>
      <c r="H46" s="55"/>
      <c r="I46" s="55"/>
      <c r="J46" s="115" t="s">
        <v>74</v>
      </c>
      <c r="K46" s="92">
        <f>SUM(E45:F45)</f>
        <v>35368365.435499996</v>
      </c>
      <c r="M46" s="109">
        <v>0</v>
      </c>
    </row>
    <row r="47" spans="1:13">
      <c r="A47" s="55" t="s">
        <v>83</v>
      </c>
      <c r="B47" s="55"/>
      <c r="C47" s="55"/>
      <c r="D47" s="55"/>
      <c r="E47" s="55"/>
      <c r="F47" s="55"/>
      <c r="G47" s="55"/>
      <c r="H47" s="55" t="s">
        <v>29</v>
      </c>
      <c r="I47" s="55"/>
      <c r="J47" s="115"/>
      <c r="K47" s="55"/>
      <c r="L47" s="109">
        <v>752760</v>
      </c>
    </row>
    <row r="48" spans="1:13">
      <c r="A48" s="55"/>
      <c r="B48" s="55"/>
      <c r="C48" s="55"/>
      <c r="D48" s="55"/>
      <c r="E48" s="55"/>
      <c r="F48" s="55"/>
      <c r="G48" s="55"/>
      <c r="H48" s="55"/>
      <c r="I48" s="55"/>
      <c r="J48" s="115"/>
      <c r="K48" s="55"/>
      <c r="L48" s="109">
        <v>902075</v>
      </c>
    </row>
    <row r="49" spans="1:13">
      <c r="A49" s="55" t="s">
        <v>202</v>
      </c>
      <c r="B49" s="55"/>
      <c r="C49" s="55"/>
      <c r="D49" s="55"/>
      <c r="E49" s="55"/>
      <c r="F49" s="55"/>
      <c r="G49" s="55"/>
      <c r="H49" s="140" t="s">
        <v>194</v>
      </c>
      <c r="I49" s="55"/>
      <c r="J49" s="115"/>
      <c r="K49" s="55"/>
      <c r="L49" s="109">
        <v>504234.65</v>
      </c>
      <c r="M49" s="109">
        <v>8736531.7100000009</v>
      </c>
    </row>
    <row r="50" spans="1:13">
      <c r="A50" s="140" t="s">
        <v>203</v>
      </c>
      <c r="B50" s="55"/>
      <c r="C50" s="55"/>
      <c r="D50" s="55"/>
      <c r="E50" s="55"/>
      <c r="F50" s="55"/>
      <c r="G50" s="55"/>
      <c r="H50" s="140" t="s">
        <v>195</v>
      </c>
      <c r="I50" s="55"/>
      <c r="J50" s="115"/>
      <c r="K50" s="55"/>
      <c r="L50" s="109">
        <v>899145</v>
      </c>
      <c r="M50" s="109">
        <v>10140</v>
      </c>
    </row>
    <row r="51" spans="1:13">
      <c r="A51" s="55"/>
      <c r="B51" s="55"/>
      <c r="C51" s="55"/>
      <c r="D51" s="55"/>
      <c r="E51" s="234" t="s">
        <v>237</v>
      </c>
      <c r="F51" s="55"/>
      <c r="G51" s="55"/>
      <c r="H51" s="55"/>
      <c r="I51" s="55"/>
      <c r="J51" s="115"/>
      <c r="K51" s="55"/>
      <c r="L51" s="109">
        <v>1087927.3999999999</v>
      </c>
      <c r="M51" s="109">
        <f>SUM(M49:M50)</f>
        <v>8746671.7100000009</v>
      </c>
    </row>
    <row r="52" spans="1:13">
      <c r="A52" s="55"/>
      <c r="B52" s="55"/>
      <c r="C52" s="55"/>
      <c r="D52" s="55"/>
      <c r="E52" s="115"/>
      <c r="F52" s="55"/>
      <c r="G52" s="55"/>
      <c r="H52" s="55"/>
      <c r="I52" s="115"/>
      <c r="J52" s="115"/>
      <c r="K52" s="55"/>
      <c r="L52" s="109">
        <v>2896515.5</v>
      </c>
    </row>
    <row r="53" spans="1:13">
      <c r="A53" s="55"/>
      <c r="B53" s="55"/>
      <c r="C53" s="55"/>
      <c r="D53" s="55"/>
      <c r="E53" s="82" t="s">
        <v>149</v>
      </c>
      <c r="F53" s="55"/>
      <c r="G53" s="55"/>
      <c r="H53" s="55"/>
      <c r="I53" s="115"/>
      <c r="J53" s="115"/>
      <c r="K53" s="55"/>
    </row>
    <row r="54" spans="1:13">
      <c r="A54" s="55"/>
      <c r="B54" s="55"/>
      <c r="C54" s="55"/>
      <c r="D54" s="55"/>
      <c r="E54" s="55" t="s">
        <v>238</v>
      </c>
      <c r="F54" s="55"/>
      <c r="G54" s="55"/>
      <c r="H54" s="55"/>
      <c r="I54" s="115"/>
      <c r="J54" s="115"/>
      <c r="K54" s="55"/>
      <c r="L54" s="109">
        <v>120000</v>
      </c>
    </row>
    <row r="55" spans="1:13">
      <c r="I55" s="109"/>
      <c r="M55" s="46"/>
    </row>
    <row r="56" spans="1:13">
      <c r="F56" s="121">
        <f>F18-F57</f>
        <v>-778890.32600000058</v>
      </c>
      <c r="I56" s="109"/>
      <c r="K56" s="55"/>
      <c r="L56" s="115">
        <v>630000</v>
      </c>
      <c r="M56" s="183">
        <v>10644424.82</v>
      </c>
    </row>
    <row r="57" spans="1:13">
      <c r="F57" s="115">
        <f>49980+103610+255752.8+265335+81917.75+32889+315132+287135.25+143400+640002.5</f>
        <v>2175154.2999999998</v>
      </c>
      <c r="I57" s="109"/>
      <c r="J57" s="109">
        <v>7850000</v>
      </c>
      <c r="L57" s="109">
        <v>1000000</v>
      </c>
      <c r="M57" s="183">
        <v>13157941.960000001</v>
      </c>
    </row>
    <row r="58" spans="1:13">
      <c r="I58" s="109"/>
      <c r="J58" s="109">
        <v>800000</v>
      </c>
      <c r="L58" s="109">
        <v>1300000</v>
      </c>
      <c r="M58" s="184">
        <v>0</v>
      </c>
    </row>
    <row r="59" spans="1:13">
      <c r="I59" s="109"/>
      <c r="J59" s="109">
        <v>1200000</v>
      </c>
      <c r="L59" s="109">
        <v>2000000</v>
      </c>
      <c r="M59" s="183">
        <f>SUM(M56:M58)</f>
        <v>23802366.780000001</v>
      </c>
    </row>
    <row r="60" spans="1:13">
      <c r="I60" s="109"/>
      <c r="J60" s="109">
        <v>3500000</v>
      </c>
      <c r="L60" s="109">
        <v>150000</v>
      </c>
      <c r="M60" s="183">
        <v>24092226.780000001</v>
      </c>
    </row>
    <row r="61" spans="1:13">
      <c r="I61" s="109">
        <v>100000</v>
      </c>
      <c r="J61" s="116">
        <f>SUM(J57:J60)</f>
        <v>13350000</v>
      </c>
      <c r="L61" s="109">
        <v>4590281.96</v>
      </c>
      <c r="M61" s="183">
        <f>M60-M59</f>
        <v>289860</v>
      </c>
    </row>
    <row r="62" spans="1:13">
      <c r="I62" s="109">
        <v>4589687.1100000003</v>
      </c>
      <c r="J62" s="109">
        <v>16829861.079999998</v>
      </c>
      <c r="L62" s="109">
        <f>SUM(L56:L61)</f>
        <v>9670281.9600000009</v>
      </c>
      <c r="M62" s="46"/>
    </row>
    <row r="63" spans="1:13">
      <c r="I63" s="116">
        <f>SUM(I57:I62)</f>
        <v>4689687.1100000003</v>
      </c>
      <c r="J63" s="109">
        <f>J61-J62</f>
        <v>-3479861.0799999982</v>
      </c>
      <c r="M63" s="109">
        <v>24416573.030000001</v>
      </c>
    </row>
    <row r="64" spans="1:13">
      <c r="I64" s="109">
        <v>7212797.6100000003</v>
      </c>
      <c r="M64" s="109">
        <v>24708913.030000001</v>
      </c>
    </row>
    <row r="65" spans="1:13">
      <c r="I65" s="109">
        <f>I63-I64</f>
        <v>-2523110.5</v>
      </c>
      <c r="M65" s="109">
        <f>M63-M64</f>
        <v>-292340</v>
      </c>
    </row>
    <row r="66" spans="1:13">
      <c r="I66" s="109"/>
      <c r="M66" s="109">
        <v>289860</v>
      </c>
    </row>
    <row r="67" spans="1:13">
      <c r="I67" s="109"/>
      <c r="J67" s="109">
        <v>25346381.800000001</v>
      </c>
      <c r="M67" s="173">
        <f>SUM(M65:M66)</f>
        <v>-2480</v>
      </c>
    </row>
    <row r="68" spans="1:13">
      <c r="I68" s="109"/>
      <c r="J68" s="109">
        <v>24042658.690000001</v>
      </c>
      <c r="M68" s="46"/>
    </row>
    <row r="69" spans="1:13">
      <c r="I69" s="109"/>
      <c r="J69" s="109">
        <f>J67-J68</f>
        <v>1303723.1099999994</v>
      </c>
      <c r="L69" s="109">
        <v>400000</v>
      </c>
      <c r="M69" s="46"/>
    </row>
    <row r="70" spans="1:13">
      <c r="I70" s="109"/>
      <c r="L70" s="109">
        <v>1000000</v>
      </c>
      <c r="M70" s="109">
        <v>25279.7</v>
      </c>
    </row>
    <row r="71" spans="1:13">
      <c r="I71" s="109"/>
      <c r="M71" s="109">
        <v>27759.7</v>
      </c>
    </row>
    <row r="72" spans="1:13">
      <c r="H72" s="109"/>
      <c r="I72" s="109"/>
      <c r="M72" s="173">
        <f>M70-M71</f>
        <v>-2480</v>
      </c>
    </row>
    <row r="73" spans="1:13">
      <c r="H73" s="109">
        <v>4455551.57</v>
      </c>
      <c r="I73" s="109"/>
      <c r="J73" s="109">
        <v>17496381.800000001</v>
      </c>
      <c r="M73" s="46"/>
    </row>
    <row r="74" spans="1:13">
      <c r="H74" s="109">
        <v>5760963.6399999997</v>
      </c>
      <c r="I74" s="109"/>
      <c r="J74" s="109">
        <v>7850000</v>
      </c>
      <c r="M74" s="46"/>
    </row>
    <row r="75" spans="1:13">
      <c r="H75" s="109">
        <f>SUM(H73:H74)</f>
        <v>10216515.210000001</v>
      </c>
      <c r="I75" s="109"/>
      <c r="J75" s="109">
        <f>SUM(J73:J74)</f>
        <v>25346381.800000001</v>
      </c>
      <c r="M75" s="46"/>
    </row>
    <row r="76" spans="1:13" s="109" customFormat="1">
      <c r="A76" s="46"/>
      <c r="B76" s="46"/>
      <c r="C76" s="46"/>
      <c r="D76" s="46"/>
      <c r="E76" s="46"/>
      <c r="F76" s="46"/>
      <c r="G76" s="46"/>
    </row>
    <row r="77" spans="1:13" s="109" customFormat="1">
      <c r="A77" s="46"/>
      <c r="B77" s="46"/>
      <c r="C77" s="46"/>
      <c r="D77" s="46"/>
      <c r="E77" s="46"/>
      <c r="F77" s="46"/>
      <c r="G77" s="46"/>
    </row>
    <row r="78" spans="1:13" s="109" customFormat="1">
      <c r="A78" s="46"/>
      <c r="B78" s="46"/>
      <c r="C78" s="46"/>
      <c r="D78" s="46"/>
      <c r="E78" s="46"/>
      <c r="F78" s="46"/>
      <c r="G78" s="46"/>
    </row>
    <row r="79" spans="1:13" s="109" customFormat="1">
      <c r="A79" s="46"/>
      <c r="B79" s="46"/>
      <c r="C79" s="46"/>
      <c r="D79" s="46"/>
      <c r="E79" s="46"/>
      <c r="F79" s="46"/>
      <c r="G79" s="46"/>
    </row>
    <row r="80" spans="1:13" s="109" customFormat="1">
      <c r="A80" s="46"/>
      <c r="B80" s="46"/>
      <c r="C80" s="46"/>
      <c r="D80" s="46"/>
      <c r="E80" s="46"/>
      <c r="F80" s="46"/>
      <c r="G80" s="46"/>
    </row>
    <row r="81" spans="1:11" s="109" customFormat="1">
      <c r="A81" s="46"/>
      <c r="B81" s="46"/>
      <c r="C81" s="46"/>
      <c r="D81" s="46"/>
      <c r="E81" s="46"/>
      <c r="F81" s="46"/>
      <c r="G81" s="46"/>
    </row>
    <row r="82" spans="1:11" s="109" customFormat="1">
      <c r="A82" s="46"/>
      <c r="B82" s="46"/>
      <c r="C82" s="46"/>
      <c r="D82" s="46"/>
      <c r="E82" s="46"/>
      <c r="F82" s="46"/>
      <c r="G82" s="46"/>
      <c r="H82" s="46"/>
    </row>
    <row r="83" spans="1:11" s="109" customFormat="1">
      <c r="A83" s="46"/>
      <c r="B83" s="46"/>
      <c r="C83" s="46"/>
      <c r="D83" s="46"/>
      <c r="E83" s="46"/>
      <c r="F83" s="46"/>
      <c r="G83" s="46"/>
      <c r="H83" s="46"/>
    </row>
    <row r="84" spans="1:11" s="109" customFormat="1">
      <c r="A84" s="46"/>
      <c r="B84" s="46"/>
      <c r="C84" s="46"/>
      <c r="D84" s="46"/>
      <c r="E84" s="46"/>
      <c r="F84" s="46"/>
      <c r="G84" s="46"/>
      <c r="H84" s="46"/>
    </row>
    <row r="85" spans="1:11" s="109" customFormat="1">
      <c r="A85" s="46"/>
      <c r="B85" s="46"/>
      <c r="C85" s="46"/>
      <c r="D85" s="46"/>
      <c r="E85" s="46"/>
      <c r="F85" s="46"/>
      <c r="G85" s="46"/>
      <c r="H85" s="46"/>
    </row>
    <row r="86" spans="1:11" s="109" customFormat="1">
      <c r="A86" s="46"/>
      <c r="B86" s="46"/>
      <c r="C86" s="46"/>
      <c r="D86" s="46"/>
      <c r="E86" s="46"/>
      <c r="F86" s="46"/>
      <c r="G86" s="46"/>
      <c r="H86" s="46"/>
      <c r="K86" s="46"/>
    </row>
    <row r="87" spans="1:11" s="109" customFormat="1">
      <c r="A87" s="46"/>
      <c r="B87" s="46"/>
      <c r="C87" s="46"/>
      <c r="D87" s="46"/>
      <c r="E87" s="46"/>
      <c r="F87" s="46"/>
      <c r="G87" s="46"/>
      <c r="H87" s="46"/>
      <c r="K87" s="46"/>
    </row>
    <row r="88" spans="1:11" s="109" customFormat="1">
      <c r="A88" s="46"/>
      <c r="B88" s="46"/>
      <c r="C88" s="46"/>
      <c r="D88" s="46"/>
      <c r="E88" s="46"/>
      <c r="F88" s="46"/>
      <c r="G88" s="46"/>
      <c r="H88" s="46"/>
      <c r="K88" s="46"/>
    </row>
    <row r="89" spans="1:11" s="109" customFormat="1">
      <c r="A89" s="46"/>
      <c r="B89" s="46"/>
      <c r="C89" s="46"/>
      <c r="D89" s="46"/>
      <c r="E89" s="46"/>
      <c r="F89" s="46"/>
      <c r="G89" s="46"/>
      <c r="H89" s="46"/>
      <c r="K89" s="46"/>
    </row>
    <row r="90" spans="1:11" s="109" customFormat="1">
      <c r="A90" s="46"/>
      <c r="B90" s="46"/>
      <c r="C90" s="46"/>
      <c r="D90" s="46"/>
      <c r="E90" s="46"/>
      <c r="F90" s="46"/>
      <c r="G90" s="46"/>
      <c r="H90" s="46"/>
      <c r="K90" s="46"/>
    </row>
    <row r="91" spans="1:11" s="109" customFormat="1">
      <c r="A91" s="46"/>
      <c r="B91" s="46"/>
      <c r="C91" s="46"/>
      <c r="D91" s="46"/>
      <c r="E91" s="46"/>
      <c r="F91" s="46"/>
      <c r="G91" s="46"/>
      <c r="H91" s="46"/>
      <c r="K91" s="46"/>
    </row>
    <row r="92" spans="1:11" s="109" customFormat="1">
      <c r="A92" s="46"/>
      <c r="B92" s="46"/>
      <c r="C92" s="46"/>
      <c r="D92" s="46"/>
      <c r="E92" s="46"/>
      <c r="F92" s="46"/>
      <c r="G92" s="46"/>
      <c r="H92" s="46"/>
      <c r="K92" s="46"/>
    </row>
    <row r="93" spans="1:11" s="109" customFormat="1">
      <c r="A93" s="46"/>
      <c r="B93" s="46"/>
      <c r="C93" s="46"/>
      <c r="D93" s="46"/>
      <c r="E93" s="46"/>
      <c r="F93" s="46"/>
      <c r="G93" s="46"/>
      <c r="H93" s="46"/>
      <c r="K93" s="46"/>
    </row>
    <row r="94" spans="1:11" s="109" customFormat="1">
      <c r="A94" s="46"/>
      <c r="B94" s="46"/>
      <c r="C94" s="46"/>
      <c r="D94" s="46"/>
      <c r="E94" s="46"/>
      <c r="F94" s="46"/>
      <c r="G94" s="46"/>
      <c r="H94" s="46"/>
      <c r="K94" s="46"/>
    </row>
    <row r="95" spans="1:11" s="109" customFormat="1">
      <c r="A95" s="46"/>
      <c r="B95" s="46"/>
      <c r="C95" s="46"/>
      <c r="D95" s="46"/>
      <c r="E95" s="46"/>
      <c r="F95" s="46"/>
      <c r="G95" s="46"/>
      <c r="H95" s="46"/>
      <c r="K95" s="46"/>
    </row>
    <row r="96" spans="1:11" s="109" customFormat="1">
      <c r="A96" s="46"/>
      <c r="B96" s="46"/>
      <c r="C96" s="46"/>
      <c r="D96" s="46"/>
      <c r="E96" s="46"/>
      <c r="F96" s="46"/>
      <c r="G96" s="46"/>
      <c r="H96" s="46"/>
      <c r="K96" s="46"/>
    </row>
    <row r="97" spans="1:11" s="109" customFormat="1">
      <c r="A97" s="46"/>
      <c r="B97" s="46"/>
      <c r="C97" s="46"/>
      <c r="D97" s="46"/>
      <c r="E97" s="46"/>
      <c r="F97" s="46"/>
      <c r="G97" s="46"/>
      <c r="H97" s="46"/>
      <c r="K97" s="46"/>
    </row>
    <row r="98" spans="1:11" s="109" customFormat="1">
      <c r="A98" s="46"/>
      <c r="B98" s="46"/>
      <c r="C98" s="46"/>
      <c r="D98" s="46"/>
      <c r="E98" s="46"/>
      <c r="F98" s="46"/>
      <c r="G98" s="46"/>
      <c r="H98" s="46"/>
      <c r="K98" s="46"/>
    </row>
  </sheetData>
  <mergeCells count="3">
    <mergeCell ref="A2:J2"/>
    <mergeCell ref="A3:J3"/>
    <mergeCell ref="A4:J4"/>
  </mergeCells>
  <printOptions horizontalCentered="1"/>
  <pageMargins left="0.02" right="0.15" top="0.39" bottom="0.1" header="0.21" footer="0.1"/>
  <pageSetup scale="84" orientation="portrait" horizontalDpi="4294967293" verticalDpi="30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3399"/>
  </sheetPr>
  <dimension ref="A1:M99"/>
  <sheetViews>
    <sheetView topLeftCell="A13" workbookViewId="0">
      <selection activeCell="M19" sqref="M19"/>
    </sheetView>
  </sheetViews>
  <sheetFormatPr defaultRowHeight="12.75"/>
  <cols>
    <col min="1" max="1" width="6" style="46" customWidth="1"/>
    <col min="2" max="3" width="9.140625" style="46"/>
    <col min="4" max="4" width="16.5703125" style="46" customWidth="1"/>
    <col min="5" max="6" width="13.85546875" style="46" customWidth="1"/>
    <col min="7" max="7" width="10" style="46" customWidth="1"/>
    <col min="8" max="8" width="11.5703125" style="46" customWidth="1"/>
    <col min="9" max="9" width="11.42578125" style="46" customWidth="1"/>
    <col min="10" max="10" width="13.28515625" style="109" customWidth="1"/>
    <col min="11" max="11" width="15.7109375" style="46" customWidth="1"/>
    <col min="12" max="12" width="16.85546875" style="109" customWidth="1"/>
    <col min="13" max="13" width="17" style="109" customWidth="1"/>
    <col min="14" max="14" width="17" style="46" customWidth="1"/>
    <col min="15" max="16384" width="9.140625" style="46"/>
  </cols>
  <sheetData>
    <row r="1" spans="1:13">
      <c r="A1" s="47"/>
      <c r="B1" s="48"/>
      <c r="C1" s="48"/>
      <c r="D1" s="48"/>
      <c r="E1" s="48"/>
      <c r="F1" s="48"/>
      <c r="G1" s="48"/>
      <c r="H1" s="48"/>
      <c r="I1" s="48"/>
      <c r="J1" s="169" t="s">
        <v>81</v>
      </c>
    </row>
    <row r="2" spans="1:13">
      <c r="A2" s="389" t="s">
        <v>80</v>
      </c>
      <c r="B2" s="390"/>
      <c r="C2" s="390"/>
      <c r="D2" s="390"/>
      <c r="E2" s="390"/>
      <c r="F2" s="390"/>
      <c r="G2" s="390"/>
      <c r="H2" s="390"/>
      <c r="I2" s="390"/>
      <c r="J2" s="391"/>
    </row>
    <row r="3" spans="1:13">
      <c r="A3" s="389" t="s">
        <v>241</v>
      </c>
      <c r="B3" s="390"/>
      <c r="C3" s="390"/>
      <c r="D3" s="390"/>
      <c r="E3" s="390"/>
      <c r="F3" s="390"/>
      <c r="G3" s="390"/>
      <c r="H3" s="390"/>
      <c r="I3" s="390"/>
      <c r="J3" s="391"/>
    </row>
    <row r="4" spans="1:13">
      <c r="A4" s="389"/>
      <c r="B4" s="390"/>
      <c r="C4" s="390"/>
      <c r="D4" s="390"/>
      <c r="E4" s="390"/>
      <c r="F4" s="390"/>
      <c r="G4" s="390"/>
      <c r="H4" s="390"/>
      <c r="I4" s="390"/>
      <c r="J4" s="391"/>
    </row>
    <row r="5" spans="1:13">
      <c r="A5" s="54" t="s">
        <v>77</v>
      </c>
      <c r="B5" s="236"/>
      <c r="C5" s="236"/>
      <c r="D5" s="236"/>
      <c r="E5" s="236"/>
      <c r="F5" s="236"/>
      <c r="G5" s="236"/>
      <c r="H5" s="236"/>
      <c r="I5" s="236"/>
      <c r="J5" s="170"/>
    </row>
    <row r="6" spans="1:13">
      <c r="A6" s="54" t="s">
        <v>76</v>
      </c>
      <c r="B6" s="55"/>
      <c r="C6" s="55"/>
      <c r="D6" s="55"/>
      <c r="E6" s="55"/>
      <c r="F6" s="55"/>
      <c r="G6" s="55"/>
      <c r="H6" s="55"/>
      <c r="I6" s="55"/>
      <c r="J6" s="171"/>
      <c r="K6" s="46" t="s">
        <v>210</v>
      </c>
    </row>
    <row r="7" spans="1:13">
      <c r="A7" s="47"/>
      <c r="B7" s="48"/>
      <c r="C7" s="48"/>
      <c r="D7" s="49"/>
      <c r="E7" s="88" t="s">
        <v>8</v>
      </c>
      <c r="F7" s="50"/>
      <c r="G7" s="52"/>
      <c r="H7" s="52"/>
      <c r="I7" s="53"/>
      <c r="J7" s="110"/>
    </row>
    <row r="8" spans="1:13">
      <c r="A8" s="54"/>
      <c r="B8" s="55"/>
      <c r="C8" s="55"/>
      <c r="D8" s="56"/>
      <c r="E8" s="235" t="s">
        <v>9</v>
      </c>
      <c r="F8" s="53"/>
      <c r="G8" s="59"/>
      <c r="H8" s="59"/>
      <c r="I8" s="58"/>
      <c r="J8" s="111"/>
    </row>
    <row r="9" spans="1:13">
      <c r="A9" s="61" t="s">
        <v>68</v>
      </c>
      <c r="B9" s="55"/>
      <c r="C9" s="55"/>
      <c r="D9" s="56"/>
      <c r="E9" s="235" t="s">
        <v>10</v>
      </c>
      <c r="F9" s="60" t="s">
        <v>12</v>
      </c>
      <c r="G9" s="60" t="s">
        <v>14</v>
      </c>
      <c r="H9" s="60" t="s">
        <v>20</v>
      </c>
      <c r="I9" s="60" t="s">
        <v>22</v>
      </c>
      <c r="J9" s="112" t="s">
        <v>24</v>
      </c>
    </row>
    <row r="10" spans="1:13">
      <c r="A10" s="54"/>
      <c r="B10" s="55"/>
      <c r="C10" s="55"/>
      <c r="D10" s="56"/>
      <c r="E10" s="235" t="s">
        <v>11</v>
      </c>
      <c r="F10" s="60" t="s">
        <v>13</v>
      </c>
      <c r="G10" s="59"/>
      <c r="H10" s="60" t="s">
        <v>21</v>
      </c>
      <c r="I10" s="60" t="s">
        <v>23</v>
      </c>
      <c r="J10" s="111"/>
    </row>
    <row r="11" spans="1:13">
      <c r="A11" s="62"/>
      <c r="B11" s="63"/>
      <c r="C11" s="63"/>
      <c r="D11" s="64"/>
      <c r="E11" s="65">
        <v>0.3</v>
      </c>
      <c r="F11" s="66">
        <v>0.7</v>
      </c>
      <c r="G11" s="59"/>
      <c r="H11" s="67"/>
      <c r="I11" s="68"/>
      <c r="J11" s="113"/>
    </row>
    <row r="12" spans="1:13" ht="18" customHeight="1">
      <c r="A12" s="70" t="s">
        <v>0</v>
      </c>
      <c r="B12" s="71"/>
      <c r="C12" s="71"/>
      <c r="D12" s="72"/>
      <c r="E12" s="51"/>
      <c r="F12" s="51"/>
      <c r="G12" s="51"/>
      <c r="H12" s="51"/>
      <c r="I12" s="51"/>
      <c r="J12" s="110"/>
      <c r="L12" s="118" t="s">
        <v>90</v>
      </c>
      <c r="M12" s="118" t="s">
        <v>89</v>
      </c>
    </row>
    <row r="13" spans="1:13" ht="18" customHeight="1">
      <c r="A13" s="73" t="s">
        <v>1</v>
      </c>
      <c r="B13" s="72"/>
      <c r="C13" s="72"/>
      <c r="D13" s="72"/>
      <c r="E13" s="94">
        <f>M19*0.3</f>
        <v>573836.05680000014</v>
      </c>
      <c r="F13" s="94">
        <f>M19*0.7</f>
        <v>1338950.7992000002</v>
      </c>
      <c r="G13" s="94"/>
      <c r="H13" s="94"/>
      <c r="I13" s="94"/>
      <c r="J13" s="114">
        <f>SUM(E13:I13)</f>
        <v>1912786.8560000004</v>
      </c>
      <c r="K13" s="175" t="e">
        <f>SUM(J13+#REF!+#REF!+#REF!+#REF!+#REF!+#REF!+#REF!+#REF!+#REF!+#REF!+#REF!)</f>
        <v>#REF!</v>
      </c>
      <c r="L13" s="109">
        <v>21367644.399999999</v>
      </c>
      <c r="M13" s="109">
        <v>4171566.4</v>
      </c>
    </row>
    <row r="14" spans="1:13" ht="18" customHeight="1">
      <c r="A14" s="73" t="s">
        <v>2</v>
      </c>
      <c r="B14" s="72"/>
      <c r="C14" s="72"/>
      <c r="D14" s="72"/>
      <c r="E14" s="102"/>
      <c r="F14" s="102"/>
      <c r="G14" s="102"/>
      <c r="H14" s="102"/>
      <c r="I14" s="102"/>
      <c r="J14" s="110">
        <f>SUM(E14:I14)</f>
        <v>0</v>
      </c>
      <c r="K14" s="117" t="s">
        <v>88</v>
      </c>
      <c r="L14" s="109">
        <v>9400000</v>
      </c>
      <c r="M14" s="109">
        <v>5637398.9699999997</v>
      </c>
    </row>
    <row r="15" spans="1:13" ht="18" customHeight="1">
      <c r="A15" s="75" t="s">
        <v>3</v>
      </c>
      <c r="B15" s="48"/>
      <c r="C15" s="48"/>
      <c r="D15" s="48"/>
      <c r="E15" s="102"/>
      <c r="F15" s="102"/>
      <c r="G15" s="102"/>
      <c r="H15" s="102"/>
      <c r="I15" s="102"/>
      <c r="J15" s="110"/>
      <c r="L15" s="116">
        <f>SUM(L13:L14)</f>
        <v>30767644.399999999</v>
      </c>
      <c r="M15" s="116">
        <f>SUM(M13:M14)</f>
        <v>9808965.3699999992</v>
      </c>
    </row>
    <row r="16" spans="1:13" ht="18" customHeight="1">
      <c r="A16" s="76" t="s">
        <v>78</v>
      </c>
      <c r="B16" s="55"/>
      <c r="C16" s="55"/>
      <c r="D16" s="55"/>
      <c r="E16" s="103"/>
      <c r="F16" s="103"/>
      <c r="G16" s="103"/>
      <c r="H16" s="103"/>
      <c r="I16" s="103"/>
      <c r="J16" s="113">
        <f>SUM(E16:I16)</f>
        <v>0</v>
      </c>
      <c r="K16" s="46">
        <v>11930281.960000001</v>
      </c>
    </row>
    <row r="17" spans="1:13" ht="18" customHeight="1">
      <c r="A17" s="77" t="s">
        <v>79</v>
      </c>
      <c r="B17" s="72"/>
      <c r="C17" s="72"/>
      <c r="D17" s="72"/>
      <c r="E17" s="94"/>
      <c r="F17" s="94"/>
      <c r="G17" s="94"/>
      <c r="H17" s="94"/>
      <c r="I17" s="94"/>
      <c r="J17" s="113">
        <f>SUM(E17:I17)</f>
        <v>0</v>
      </c>
      <c r="K17" s="173">
        <f>K16-J16</f>
        <v>11930281.960000001</v>
      </c>
      <c r="M17" s="109">
        <v>25936573.030000001</v>
      </c>
    </row>
    <row r="18" spans="1:13" ht="18" customHeight="1">
      <c r="A18" s="70" t="s">
        <v>7</v>
      </c>
      <c r="B18" s="72"/>
      <c r="C18" s="72"/>
      <c r="D18" s="72"/>
      <c r="E18" s="119">
        <f>SUM(E13:E17)</f>
        <v>573836.05680000014</v>
      </c>
      <c r="F18" s="119">
        <f t="shared" ref="F18:J18" si="0">SUM(F13:F17)</f>
        <v>1338950.7992000002</v>
      </c>
      <c r="G18" s="119">
        <f t="shared" si="0"/>
        <v>0</v>
      </c>
      <c r="H18" s="119">
        <f t="shared" si="0"/>
        <v>0</v>
      </c>
      <c r="I18" s="119">
        <f t="shared" si="0"/>
        <v>0</v>
      </c>
      <c r="J18" s="119">
        <f t="shared" si="0"/>
        <v>1912786.8560000004</v>
      </c>
      <c r="K18" s="166">
        <f t="shared" ref="K18:K44" si="1">SUM(E18:I18)</f>
        <v>1912786.8560000004</v>
      </c>
      <c r="L18" s="193" t="s">
        <v>171</v>
      </c>
      <c r="M18" s="192">
        <f>307039891.1-268784153.98</f>
        <v>38255737.120000005</v>
      </c>
    </row>
    <row r="19" spans="1:13" s="109" customFormat="1" ht="18" customHeight="1">
      <c r="A19" s="74" t="s">
        <v>99</v>
      </c>
      <c r="B19" s="72" t="s">
        <v>100</v>
      </c>
      <c r="C19" s="72"/>
      <c r="D19" s="72"/>
      <c r="E19" s="94">
        <f>SUM('DRRM Funds Apr2015 Rev'!E45)</f>
        <v>13301895.508849999</v>
      </c>
      <c r="F19" s="94">
        <f>SUM('DRRM Funds Apr2015 Rev'!F45)</f>
        <v>20672862.100649998</v>
      </c>
      <c r="G19" s="94">
        <f>SUM('DRRM Funds Apr2015 Rev'!G45)</f>
        <v>0</v>
      </c>
      <c r="H19" s="94">
        <f>SUM('DRRM Funds Apr2015 Rev'!H45)</f>
        <v>0</v>
      </c>
      <c r="I19" s="94">
        <f>SUM('DRRM Funds Apr2015 Rev'!I45)</f>
        <v>0</v>
      </c>
      <c r="J19" s="94">
        <f>SUM('DRRM Funds Apr2015 Rev'!J45)</f>
        <v>33974757.609499998</v>
      </c>
      <c r="K19" s="166">
        <f t="shared" si="1"/>
        <v>33974757.609499998</v>
      </c>
      <c r="L19" s="194">
        <v>0.05</v>
      </c>
      <c r="M19" s="262">
        <f>M18*0.05</f>
        <v>1912786.8560000004</v>
      </c>
    </row>
    <row r="20" spans="1:13" s="109" customFormat="1" ht="18" customHeight="1">
      <c r="A20" s="70" t="s">
        <v>101</v>
      </c>
      <c r="B20" s="122"/>
      <c r="C20" s="72"/>
      <c r="D20" s="72"/>
      <c r="E20" s="119">
        <f>SUM(E18:E19)</f>
        <v>13875731.565649999</v>
      </c>
      <c r="F20" s="119">
        <f t="shared" ref="F20:J20" si="2">SUM(F18:F19)</f>
        <v>22011812.899849996</v>
      </c>
      <c r="G20" s="119">
        <f t="shared" si="2"/>
        <v>0</v>
      </c>
      <c r="H20" s="119">
        <f t="shared" si="2"/>
        <v>0</v>
      </c>
      <c r="I20" s="119">
        <f t="shared" si="2"/>
        <v>0</v>
      </c>
      <c r="J20" s="119">
        <f t="shared" si="2"/>
        <v>35887544.465499997</v>
      </c>
      <c r="K20" s="166">
        <f t="shared" si="1"/>
        <v>35887544.465499997</v>
      </c>
    </row>
    <row r="21" spans="1:13" ht="18" customHeight="1">
      <c r="A21" s="70" t="s">
        <v>15</v>
      </c>
      <c r="B21" s="72"/>
      <c r="C21" s="72"/>
      <c r="D21" s="72"/>
      <c r="E21" s="94"/>
      <c r="F21" s="94"/>
      <c r="G21" s="94"/>
      <c r="H21" s="94"/>
      <c r="I21" s="94"/>
      <c r="J21" s="114"/>
      <c r="K21" s="166">
        <f t="shared" si="1"/>
        <v>0</v>
      </c>
      <c r="M21" s="109">
        <v>26972032.48</v>
      </c>
    </row>
    <row r="22" spans="1:13" ht="18" customHeight="1">
      <c r="A22" s="78" t="s">
        <v>206</v>
      </c>
      <c r="B22" s="72"/>
      <c r="C22" s="72"/>
      <c r="D22" s="72"/>
      <c r="E22" s="94"/>
      <c r="F22" s="94"/>
      <c r="G22" s="94"/>
      <c r="H22" s="94"/>
      <c r="I22" s="94"/>
      <c r="J22" s="114">
        <f>SUM(E22:I22)</f>
        <v>0</v>
      </c>
      <c r="K22" s="166"/>
    </row>
    <row r="23" spans="1:13" ht="18" customHeight="1">
      <c r="A23" s="78" t="s">
        <v>207</v>
      </c>
      <c r="B23" s="72"/>
      <c r="C23" s="72"/>
      <c r="D23" s="72"/>
      <c r="E23" s="94"/>
      <c r="F23" s="94"/>
      <c r="G23" s="94"/>
      <c r="H23" s="94"/>
      <c r="I23" s="94"/>
      <c r="J23" s="114">
        <f t="shared" ref="J23:J37" si="3">SUM(E23:I23)</f>
        <v>0</v>
      </c>
      <c r="K23" s="166"/>
    </row>
    <row r="24" spans="1:13" ht="18" customHeight="1">
      <c r="A24" s="78" t="s">
        <v>228</v>
      </c>
      <c r="B24" s="72"/>
      <c r="C24" s="72"/>
      <c r="D24" s="72"/>
      <c r="E24" s="94"/>
      <c r="F24" s="94"/>
      <c r="G24" s="94"/>
      <c r="H24" s="94"/>
      <c r="I24" s="94"/>
      <c r="J24" s="114">
        <f t="shared" si="3"/>
        <v>0</v>
      </c>
      <c r="K24" s="166">
        <f t="shared" si="1"/>
        <v>0</v>
      </c>
      <c r="L24" s="176">
        <f>518731460.56*0.05</f>
        <v>25936573.028000001</v>
      </c>
      <c r="M24" s="109">
        <v>125607.13</v>
      </c>
    </row>
    <row r="25" spans="1:13" ht="18" customHeight="1">
      <c r="A25" s="78" t="s">
        <v>229</v>
      </c>
      <c r="B25" s="72"/>
      <c r="C25" s="72"/>
      <c r="D25" s="72"/>
      <c r="E25" s="94"/>
      <c r="F25" s="94"/>
      <c r="G25" s="94"/>
      <c r="H25" s="94"/>
      <c r="I25" s="94"/>
      <c r="J25" s="114">
        <f t="shared" si="3"/>
        <v>0</v>
      </c>
      <c r="K25" s="166"/>
      <c r="L25" s="228"/>
    </row>
    <row r="26" spans="1:13" ht="18" customHeight="1">
      <c r="A26" s="78" t="s">
        <v>70</v>
      </c>
      <c r="B26" s="72"/>
      <c r="C26" s="72"/>
      <c r="D26" s="72"/>
      <c r="E26" s="94"/>
      <c r="F26" s="94">
        <v>255560</v>
      </c>
      <c r="G26" s="94"/>
      <c r="H26" s="94"/>
      <c r="I26" s="94"/>
      <c r="J26" s="114">
        <f t="shared" si="3"/>
        <v>255560</v>
      </c>
      <c r="K26" s="166">
        <f t="shared" si="1"/>
        <v>255560</v>
      </c>
      <c r="L26" s="109" t="e">
        <f>L24-K13</f>
        <v>#REF!</v>
      </c>
      <c r="M26" s="109">
        <v>510000</v>
      </c>
    </row>
    <row r="27" spans="1:13" ht="18" customHeight="1">
      <c r="A27" s="78" t="s">
        <v>71</v>
      </c>
      <c r="B27" s="72"/>
      <c r="C27" s="72"/>
      <c r="D27" s="72"/>
      <c r="E27" s="94"/>
      <c r="F27" s="94">
        <v>457229.34</v>
      </c>
      <c r="G27" s="94"/>
      <c r="H27" s="94"/>
      <c r="I27" s="94"/>
      <c r="J27" s="114">
        <f t="shared" si="3"/>
        <v>457229.34</v>
      </c>
      <c r="K27" s="166">
        <f t="shared" si="1"/>
        <v>457229.34</v>
      </c>
      <c r="M27" s="109">
        <v>1430000</v>
      </c>
    </row>
    <row r="28" spans="1:13" ht="18" customHeight="1">
      <c r="A28" s="79" t="s">
        <v>91</v>
      </c>
      <c r="B28" s="72"/>
      <c r="C28" s="72"/>
      <c r="D28" s="72"/>
      <c r="E28" s="94"/>
      <c r="F28" s="94"/>
      <c r="G28" s="94"/>
      <c r="H28" s="94"/>
      <c r="I28" s="94"/>
      <c r="J28" s="114">
        <f t="shared" si="3"/>
        <v>0</v>
      </c>
      <c r="K28" s="166">
        <f t="shared" si="1"/>
        <v>0</v>
      </c>
      <c r="M28" s="109">
        <v>4285413.1100000003</v>
      </c>
    </row>
    <row r="29" spans="1:13" ht="18" customHeight="1">
      <c r="A29" s="78" t="s">
        <v>243</v>
      </c>
      <c r="B29" s="72"/>
      <c r="C29" s="72"/>
      <c r="D29" s="72"/>
      <c r="E29" s="94"/>
      <c r="F29" s="94"/>
      <c r="G29" s="94"/>
      <c r="H29" s="94"/>
      <c r="I29" s="94"/>
      <c r="J29" s="114">
        <f t="shared" si="3"/>
        <v>0</v>
      </c>
      <c r="K29" s="166">
        <f t="shared" si="1"/>
        <v>0</v>
      </c>
      <c r="M29" s="109">
        <v>3777930</v>
      </c>
    </row>
    <row r="30" spans="1:13" ht="18" customHeight="1">
      <c r="A30" s="78" t="s">
        <v>227</v>
      </c>
      <c r="B30" s="72"/>
      <c r="C30" s="72"/>
      <c r="D30" s="72"/>
      <c r="E30" s="94"/>
      <c r="F30" s="94"/>
      <c r="G30" s="94"/>
      <c r="H30" s="94"/>
      <c r="I30" s="94"/>
      <c r="J30" s="114">
        <f t="shared" si="3"/>
        <v>0</v>
      </c>
      <c r="K30" s="166">
        <f t="shared" si="1"/>
        <v>0</v>
      </c>
      <c r="L30" s="118" t="s">
        <v>162</v>
      </c>
      <c r="M30" s="109">
        <v>100</v>
      </c>
    </row>
    <row r="31" spans="1:13" ht="18" customHeight="1">
      <c r="A31" s="78" t="s">
        <v>213</v>
      </c>
      <c r="B31" s="72"/>
      <c r="C31" s="72"/>
      <c r="D31" s="72"/>
      <c r="E31" s="94"/>
      <c r="F31" s="94"/>
      <c r="G31" s="94"/>
      <c r="H31" s="94"/>
      <c r="I31" s="94"/>
      <c r="J31" s="114">
        <f t="shared" si="3"/>
        <v>0</v>
      </c>
      <c r="K31" s="166"/>
      <c r="L31" s="118"/>
      <c r="M31" s="109">
        <f>SUM(M24:M30)</f>
        <v>10129050.24</v>
      </c>
    </row>
    <row r="32" spans="1:13" ht="18" customHeight="1">
      <c r="A32" s="78" t="s">
        <v>214</v>
      </c>
      <c r="B32" s="72"/>
      <c r="C32" s="72"/>
      <c r="D32" s="72"/>
      <c r="E32" s="94"/>
      <c r="F32" s="94"/>
      <c r="G32" s="94"/>
      <c r="H32" s="94"/>
      <c r="I32" s="94"/>
      <c r="J32" s="114">
        <f t="shared" si="3"/>
        <v>0</v>
      </c>
      <c r="K32" s="227" t="s">
        <v>226</v>
      </c>
      <c r="L32" s="118"/>
    </row>
    <row r="33" spans="1:13" ht="18" customHeight="1">
      <c r="A33" s="78" t="s">
        <v>102</v>
      </c>
      <c r="B33" s="72"/>
      <c r="C33" s="72"/>
      <c r="D33" s="72"/>
      <c r="E33" s="94"/>
      <c r="F33" s="94">
        <v>1199000</v>
      </c>
      <c r="G33" s="94"/>
      <c r="H33" s="94"/>
      <c r="I33" s="94"/>
      <c r="J33" s="114">
        <f t="shared" si="3"/>
        <v>1199000</v>
      </c>
      <c r="K33" s="226">
        <f t="shared" si="1"/>
        <v>1199000</v>
      </c>
      <c r="L33" s="109">
        <f>SUM(F30:F33)</f>
        <v>1199000</v>
      </c>
    </row>
    <row r="34" spans="1:13" ht="18" customHeight="1">
      <c r="A34" s="78" t="s">
        <v>19</v>
      </c>
      <c r="B34" s="72"/>
      <c r="C34" s="72"/>
      <c r="D34" s="72"/>
      <c r="E34" s="94"/>
      <c r="F34" s="94"/>
      <c r="G34" s="94"/>
      <c r="H34" s="94"/>
      <c r="I34" s="94"/>
      <c r="J34" s="114">
        <f t="shared" si="3"/>
        <v>0</v>
      </c>
      <c r="K34" s="166">
        <f t="shared" si="1"/>
        <v>0</v>
      </c>
      <c r="L34" s="109">
        <v>147060</v>
      </c>
    </row>
    <row r="35" spans="1:13" ht="18" customHeight="1">
      <c r="A35" s="78" t="s">
        <v>168</v>
      </c>
      <c r="B35" s="72"/>
      <c r="C35" s="72"/>
      <c r="D35" s="72"/>
      <c r="E35" s="94"/>
      <c r="F35" s="94"/>
      <c r="G35" s="94"/>
      <c r="H35" s="94"/>
      <c r="I35" s="94"/>
      <c r="J35" s="114">
        <f t="shared" si="3"/>
        <v>0</v>
      </c>
      <c r="K35" s="166">
        <f t="shared" si="1"/>
        <v>0</v>
      </c>
    </row>
    <row r="36" spans="1:13" ht="18" customHeight="1">
      <c r="A36" s="78" t="s">
        <v>208</v>
      </c>
      <c r="B36" s="72"/>
      <c r="C36" s="72"/>
      <c r="D36" s="72"/>
      <c r="E36" s="94"/>
      <c r="F36" s="94"/>
      <c r="G36" s="94"/>
      <c r="H36" s="94"/>
      <c r="I36" s="94"/>
      <c r="J36" s="114">
        <f t="shared" si="3"/>
        <v>0</v>
      </c>
      <c r="K36" s="166">
        <f t="shared" si="1"/>
        <v>0</v>
      </c>
      <c r="L36" s="109">
        <v>1555500</v>
      </c>
    </row>
    <row r="37" spans="1:13" ht="18" customHeight="1">
      <c r="A37" s="78"/>
      <c r="B37" s="72" t="s">
        <v>209</v>
      </c>
      <c r="C37" s="72"/>
      <c r="D37" s="72"/>
      <c r="E37" s="94"/>
      <c r="F37" s="94"/>
      <c r="G37" s="94"/>
      <c r="H37" s="94"/>
      <c r="I37" s="94"/>
      <c r="J37" s="114">
        <f t="shared" si="3"/>
        <v>0</v>
      </c>
      <c r="K37" s="166">
        <f t="shared" si="1"/>
        <v>0</v>
      </c>
      <c r="L37" s="109">
        <v>2209000</v>
      </c>
    </row>
    <row r="38" spans="1:13" ht="18" customHeight="1">
      <c r="A38" s="78" t="s">
        <v>75</v>
      </c>
      <c r="B38" s="72"/>
      <c r="C38" s="72"/>
      <c r="D38" s="72"/>
      <c r="E38" s="94"/>
      <c r="F38" s="94"/>
      <c r="G38" s="94"/>
      <c r="H38" s="94"/>
      <c r="I38" s="94"/>
      <c r="J38" s="114">
        <f t="shared" ref="J38:J41" si="4">SUM(E38:I38)</f>
        <v>0</v>
      </c>
      <c r="K38" s="166">
        <f t="shared" si="1"/>
        <v>0</v>
      </c>
      <c r="L38" s="109">
        <v>173800</v>
      </c>
    </row>
    <row r="39" spans="1:13" ht="18" customHeight="1">
      <c r="A39" s="79" t="s">
        <v>94</v>
      </c>
      <c r="B39" s="72"/>
      <c r="C39" s="72"/>
      <c r="D39" s="72"/>
      <c r="E39" s="94"/>
      <c r="F39" s="94"/>
      <c r="G39" s="94"/>
      <c r="H39" s="94"/>
      <c r="I39" s="94"/>
      <c r="J39" s="114">
        <f t="shared" si="4"/>
        <v>0</v>
      </c>
      <c r="K39" s="166">
        <f t="shared" si="1"/>
        <v>0</v>
      </c>
      <c r="L39" s="109">
        <v>177000</v>
      </c>
    </row>
    <row r="40" spans="1:13" ht="18" customHeight="1">
      <c r="A40" s="79" t="s">
        <v>95</v>
      </c>
      <c r="B40" s="72"/>
      <c r="C40" s="72"/>
      <c r="D40" s="72"/>
      <c r="E40" s="94"/>
      <c r="F40" s="94"/>
      <c r="G40" s="94"/>
      <c r="H40" s="94"/>
      <c r="I40" s="94"/>
      <c r="J40" s="114">
        <f t="shared" si="4"/>
        <v>0</v>
      </c>
      <c r="K40" s="166">
        <f t="shared" si="1"/>
        <v>0</v>
      </c>
      <c r="L40" s="109">
        <v>204055</v>
      </c>
    </row>
    <row r="41" spans="1:13" ht="18" customHeight="1">
      <c r="A41" s="78" t="s">
        <v>96</v>
      </c>
      <c r="B41" s="72"/>
      <c r="C41" s="72"/>
      <c r="D41" s="72"/>
      <c r="E41" s="94"/>
      <c r="F41" s="94"/>
      <c r="G41" s="94"/>
      <c r="H41" s="94"/>
      <c r="I41" s="94"/>
      <c r="J41" s="114">
        <f t="shared" si="4"/>
        <v>0</v>
      </c>
      <c r="K41" s="166">
        <f t="shared" si="1"/>
        <v>0</v>
      </c>
      <c r="L41" s="109">
        <v>71070</v>
      </c>
    </row>
    <row r="42" spans="1:13" ht="18" customHeight="1">
      <c r="A42" s="84" t="s">
        <v>92</v>
      </c>
      <c r="B42" s="63"/>
      <c r="C42" s="63"/>
      <c r="D42" s="63"/>
      <c r="E42" s="94">
        <f t="shared" ref="E42:J42" si="5">SUM(E22:E41)</f>
        <v>0</v>
      </c>
      <c r="F42" s="94">
        <f t="shared" si="5"/>
        <v>1911789.34</v>
      </c>
      <c r="G42" s="94">
        <f t="shared" si="5"/>
        <v>0</v>
      </c>
      <c r="H42" s="94">
        <f t="shared" si="5"/>
        <v>0</v>
      </c>
      <c r="I42" s="94">
        <f t="shared" si="5"/>
        <v>0</v>
      </c>
      <c r="J42" s="94">
        <f t="shared" si="5"/>
        <v>1911789.34</v>
      </c>
      <c r="K42" s="166">
        <f t="shared" si="1"/>
        <v>1911789.34</v>
      </c>
      <c r="L42" s="109">
        <v>27800</v>
      </c>
      <c r="M42" s="46"/>
    </row>
    <row r="43" spans="1:13" ht="18" customHeight="1">
      <c r="A43" s="84" t="s">
        <v>103</v>
      </c>
      <c r="B43" s="63"/>
      <c r="C43" s="63"/>
      <c r="D43" s="63"/>
      <c r="E43" s="103">
        <f>SUM('DRRM Funds Apr2015 Rev'!E44)</f>
        <v>0</v>
      </c>
      <c r="F43" s="103">
        <f>SUM('DRRM Funds Apr2015 Rev'!F44)</f>
        <v>10761431.149999999</v>
      </c>
      <c r="G43" s="103">
        <f>SUM('DRRM Funds Apr2015 Rev'!G44)</f>
        <v>0</v>
      </c>
      <c r="H43" s="103">
        <f>SUM('DRRM Funds Apr2015 Rev'!H44)</f>
        <v>0</v>
      </c>
      <c r="I43" s="103">
        <f>SUM('DRRM Funds Apr2015 Rev'!I44)</f>
        <v>0</v>
      </c>
      <c r="J43" s="103">
        <f>SUM('DRRM Funds Apr2015 Rev'!J44)</f>
        <v>10761431.149999999</v>
      </c>
      <c r="K43" s="166">
        <f t="shared" si="1"/>
        <v>10761431.149999999</v>
      </c>
      <c r="L43" s="109">
        <v>126865</v>
      </c>
      <c r="M43" s="109">
        <f>SUM(E43:H43)</f>
        <v>10761431.149999999</v>
      </c>
    </row>
    <row r="44" spans="1:13" ht="18" customHeight="1">
      <c r="A44" s="84" t="s">
        <v>104</v>
      </c>
      <c r="B44" s="63"/>
      <c r="C44" s="63"/>
      <c r="D44" s="63"/>
      <c r="E44" s="103">
        <f>SUM(E42:E43)</f>
        <v>0</v>
      </c>
      <c r="F44" s="103">
        <f>SUM(F42:F43)</f>
        <v>12673220.489999998</v>
      </c>
      <c r="G44" s="103">
        <f t="shared" ref="G44:J44" si="6">SUM(G42:G43)</f>
        <v>0</v>
      </c>
      <c r="H44" s="103">
        <f t="shared" si="6"/>
        <v>0</v>
      </c>
      <c r="I44" s="103">
        <f t="shared" si="6"/>
        <v>0</v>
      </c>
      <c r="J44" s="103">
        <f t="shared" si="6"/>
        <v>12673220.489999998</v>
      </c>
      <c r="K44" s="166">
        <f t="shared" si="1"/>
        <v>12673220.489999998</v>
      </c>
      <c r="L44" s="174">
        <f>SUM(L33:L43)</f>
        <v>5891150</v>
      </c>
      <c r="M44" s="109">
        <v>10492358.970000001</v>
      </c>
    </row>
    <row r="45" spans="1:13" ht="18" customHeight="1">
      <c r="A45" s="70" t="s">
        <v>93</v>
      </c>
      <c r="B45" s="72"/>
      <c r="C45" s="72"/>
      <c r="D45" s="80"/>
      <c r="E45" s="231">
        <f t="shared" ref="E45:J45" si="7">E20-E42</f>
        <v>13875731.565649999</v>
      </c>
      <c r="F45" s="231">
        <f t="shared" si="7"/>
        <v>20100023.559849996</v>
      </c>
      <c r="G45" s="231">
        <f t="shared" si="7"/>
        <v>0</v>
      </c>
      <c r="H45" s="231">
        <f t="shared" si="7"/>
        <v>0</v>
      </c>
      <c r="I45" s="231">
        <f t="shared" si="7"/>
        <v>0</v>
      </c>
      <c r="J45" s="231">
        <f t="shared" si="7"/>
        <v>33975755.125499994</v>
      </c>
      <c r="K45" s="166">
        <f>SUM(E45:I45)</f>
        <v>33975755.125499994</v>
      </c>
      <c r="L45" s="46"/>
      <c r="M45" s="109">
        <f>M44-L44</f>
        <v>4601208.9700000007</v>
      </c>
    </row>
    <row r="46" spans="1:13" ht="18" customHeight="1">
      <c r="A46" s="55"/>
      <c r="B46" s="55"/>
      <c r="C46" s="55"/>
      <c r="D46" s="55"/>
      <c r="E46" s="55"/>
      <c r="F46" s="55"/>
      <c r="G46" s="55"/>
      <c r="H46" s="55"/>
      <c r="I46" s="55"/>
      <c r="J46" s="115" t="s">
        <v>74</v>
      </c>
      <c r="K46" s="92">
        <f>SUM(E45:F45)</f>
        <v>33975755.125499994</v>
      </c>
      <c r="M46" s="109">
        <v>0</v>
      </c>
    </row>
    <row r="47" spans="1:13">
      <c r="A47" s="55" t="s">
        <v>83</v>
      </c>
      <c r="B47" s="55"/>
      <c r="C47" s="55"/>
      <c r="D47" s="55"/>
      <c r="E47" s="55"/>
      <c r="F47" s="55"/>
      <c r="G47" s="55"/>
      <c r="H47" s="55" t="s">
        <v>29</v>
      </c>
      <c r="I47" s="55"/>
      <c r="J47" s="115"/>
      <c r="K47" s="55"/>
      <c r="L47" s="109">
        <v>752760</v>
      </c>
    </row>
    <row r="48" spans="1:13">
      <c r="A48" s="55"/>
      <c r="B48" s="55"/>
      <c r="C48" s="55"/>
      <c r="D48" s="55"/>
      <c r="E48" s="55"/>
      <c r="F48" s="55"/>
      <c r="G48" s="55"/>
      <c r="H48" s="55"/>
      <c r="I48" s="55"/>
      <c r="J48" s="115"/>
      <c r="K48" s="55"/>
      <c r="L48" s="109">
        <v>902075</v>
      </c>
    </row>
    <row r="49" spans="1:13">
      <c r="A49" s="55" t="s">
        <v>202</v>
      </c>
      <c r="B49" s="55"/>
      <c r="C49" s="55"/>
      <c r="D49" s="55"/>
      <c r="E49" s="55"/>
      <c r="F49" s="55"/>
      <c r="G49" s="55"/>
      <c r="H49" s="140" t="s">
        <v>194</v>
      </c>
      <c r="I49" s="55"/>
      <c r="J49" s="115"/>
      <c r="K49" s="55"/>
      <c r="L49" s="109">
        <v>504234.65</v>
      </c>
      <c r="M49" s="109">
        <v>8736531.7100000009</v>
      </c>
    </row>
    <row r="50" spans="1:13">
      <c r="A50" s="140" t="s">
        <v>203</v>
      </c>
      <c r="B50" s="55"/>
      <c r="C50" s="55"/>
      <c r="D50" s="55"/>
      <c r="E50" s="55"/>
      <c r="F50" s="55"/>
      <c r="G50" s="55"/>
      <c r="H50" s="140" t="s">
        <v>195</v>
      </c>
      <c r="I50" s="55"/>
      <c r="J50" s="115"/>
      <c r="K50" s="55"/>
      <c r="L50" s="109">
        <v>899145</v>
      </c>
      <c r="M50" s="109">
        <v>10140</v>
      </c>
    </row>
    <row r="51" spans="1:13">
      <c r="A51" s="55"/>
      <c r="B51" s="55"/>
      <c r="C51" s="55"/>
      <c r="D51" s="55"/>
      <c r="E51" s="234" t="s">
        <v>237</v>
      </c>
      <c r="F51" s="55"/>
      <c r="G51" s="55"/>
      <c r="H51" s="55"/>
      <c r="I51" s="55"/>
      <c r="J51" s="115"/>
      <c r="K51" s="55"/>
      <c r="L51" s="109">
        <v>1087927.3999999999</v>
      </c>
      <c r="M51" s="109">
        <f>SUM(M49:M50)</f>
        <v>8746671.7100000009</v>
      </c>
    </row>
    <row r="52" spans="1:13">
      <c r="A52" s="55"/>
      <c r="B52" s="55"/>
      <c r="C52" s="55"/>
      <c r="D52" s="55"/>
      <c r="E52" s="115"/>
      <c r="F52" s="55"/>
      <c r="G52" s="55"/>
      <c r="H52" s="55"/>
      <c r="I52" s="55"/>
      <c r="J52" s="115"/>
      <c r="K52" s="55"/>
    </row>
    <row r="53" spans="1:13">
      <c r="A53" s="55"/>
      <c r="B53" s="55"/>
      <c r="C53" s="55"/>
      <c r="D53" s="55"/>
      <c r="E53" s="82" t="s">
        <v>149</v>
      </c>
      <c r="F53" s="55"/>
      <c r="G53" s="55"/>
      <c r="H53" s="55"/>
      <c r="I53" s="55"/>
      <c r="J53" s="115"/>
      <c r="K53" s="55"/>
    </row>
    <row r="54" spans="1:13">
      <c r="A54" s="55"/>
      <c r="B54" s="55"/>
      <c r="C54" s="55"/>
      <c r="D54" s="55"/>
      <c r="E54" s="55" t="s">
        <v>238</v>
      </c>
      <c r="F54" s="55"/>
      <c r="G54" s="55"/>
      <c r="H54" s="55"/>
      <c r="I54" s="115"/>
      <c r="J54" s="115"/>
      <c r="K54" s="55"/>
      <c r="L54" s="109">
        <v>2896515.5</v>
      </c>
    </row>
    <row r="55" spans="1:13">
      <c r="A55" s="55"/>
      <c r="B55" s="55"/>
      <c r="C55" s="55"/>
      <c r="D55" s="55"/>
      <c r="E55" s="55"/>
      <c r="F55" s="55"/>
      <c r="G55" s="55"/>
      <c r="H55" s="55"/>
      <c r="I55" s="115"/>
      <c r="J55" s="115"/>
      <c r="K55" s="55"/>
      <c r="L55" s="109">
        <v>120000</v>
      </c>
    </row>
    <row r="56" spans="1:13">
      <c r="I56" s="109"/>
      <c r="M56" s="46"/>
    </row>
    <row r="57" spans="1:13">
      <c r="F57" s="121">
        <f>F18-F58</f>
        <v>-836203.50079999957</v>
      </c>
      <c r="I57" s="109"/>
      <c r="K57" s="55"/>
      <c r="L57" s="115">
        <v>630000</v>
      </c>
      <c r="M57" s="183">
        <v>10644424.82</v>
      </c>
    </row>
    <row r="58" spans="1:13">
      <c r="F58" s="115">
        <f>49980+103610+255752.8+265335+81917.75+32889+315132+287135.25+143400+640002.5</f>
        <v>2175154.2999999998</v>
      </c>
      <c r="I58" s="109"/>
      <c r="J58" s="109">
        <v>7850000</v>
      </c>
      <c r="L58" s="109">
        <v>1000000</v>
      </c>
      <c r="M58" s="183">
        <v>13157941.960000001</v>
      </c>
    </row>
    <row r="59" spans="1:13">
      <c r="I59" s="109"/>
      <c r="J59" s="109">
        <v>800000</v>
      </c>
      <c r="L59" s="109">
        <v>1300000</v>
      </c>
      <c r="M59" s="184">
        <v>0</v>
      </c>
    </row>
    <row r="60" spans="1:13">
      <c r="I60" s="109"/>
      <c r="J60" s="109">
        <v>1200000</v>
      </c>
      <c r="L60" s="109">
        <v>2000000</v>
      </c>
      <c r="M60" s="183">
        <f>SUM(M57:M59)</f>
        <v>23802366.780000001</v>
      </c>
    </row>
    <row r="61" spans="1:13">
      <c r="I61" s="109"/>
      <c r="J61" s="109">
        <v>3500000</v>
      </c>
      <c r="L61" s="109">
        <v>150000</v>
      </c>
      <c r="M61" s="183">
        <v>24092226.780000001</v>
      </c>
    </row>
    <row r="62" spans="1:13">
      <c r="I62" s="109">
        <v>100000</v>
      </c>
      <c r="J62" s="116">
        <f>SUM(J58:J61)</f>
        <v>13350000</v>
      </c>
      <c r="L62" s="109">
        <v>4590281.96</v>
      </c>
      <c r="M62" s="183">
        <f>M61-M60</f>
        <v>289860</v>
      </c>
    </row>
    <row r="63" spans="1:13">
      <c r="I63" s="109">
        <v>4589687.1100000003</v>
      </c>
      <c r="J63" s="109">
        <v>16829861.079999998</v>
      </c>
      <c r="L63" s="109">
        <f>SUM(L57:L62)</f>
        <v>9670281.9600000009</v>
      </c>
      <c r="M63" s="46"/>
    </row>
    <row r="64" spans="1:13">
      <c r="I64" s="116">
        <f>SUM(I58:I63)</f>
        <v>4689687.1100000003</v>
      </c>
      <c r="J64" s="109">
        <f>J62-J63</f>
        <v>-3479861.0799999982</v>
      </c>
      <c r="M64" s="109">
        <v>24416573.030000001</v>
      </c>
    </row>
    <row r="65" spans="1:13">
      <c r="I65" s="109">
        <v>7212797.6100000003</v>
      </c>
      <c r="M65" s="109">
        <v>24708913.030000001</v>
      </c>
    </row>
    <row r="66" spans="1:13">
      <c r="I66" s="109">
        <f>I64-I65</f>
        <v>-2523110.5</v>
      </c>
      <c r="M66" s="109">
        <f>M64-M65</f>
        <v>-292340</v>
      </c>
    </row>
    <row r="67" spans="1:13">
      <c r="I67" s="109"/>
      <c r="M67" s="109">
        <v>289860</v>
      </c>
    </row>
    <row r="68" spans="1:13">
      <c r="I68" s="109"/>
      <c r="J68" s="109">
        <v>25346381.800000001</v>
      </c>
      <c r="M68" s="173">
        <f>SUM(M66:M67)</f>
        <v>-2480</v>
      </c>
    </row>
    <row r="69" spans="1:13">
      <c r="I69" s="109"/>
      <c r="J69" s="109">
        <v>24042658.690000001</v>
      </c>
      <c r="M69" s="46"/>
    </row>
    <row r="70" spans="1:13">
      <c r="I70" s="109"/>
      <c r="J70" s="109">
        <f>J68-J69</f>
        <v>1303723.1099999994</v>
      </c>
      <c r="L70" s="109">
        <v>400000</v>
      </c>
      <c r="M70" s="46"/>
    </row>
    <row r="71" spans="1:13">
      <c r="I71" s="109"/>
      <c r="L71" s="109">
        <v>1000000</v>
      </c>
      <c r="M71" s="109">
        <v>25279.7</v>
      </c>
    </row>
    <row r="72" spans="1:13">
      <c r="I72" s="109"/>
      <c r="M72" s="109">
        <v>27759.7</v>
      </c>
    </row>
    <row r="73" spans="1:13">
      <c r="H73" s="109"/>
      <c r="I73" s="109"/>
      <c r="M73" s="173">
        <f>M71-M72</f>
        <v>-2480</v>
      </c>
    </row>
    <row r="74" spans="1:13">
      <c r="H74" s="109">
        <v>4455551.57</v>
      </c>
      <c r="I74" s="109"/>
      <c r="J74" s="109">
        <v>17496381.800000001</v>
      </c>
      <c r="M74" s="46"/>
    </row>
    <row r="75" spans="1:13">
      <c r="H75" s="109">
        <v>5760963.6399999997</v>
      </c>
      <c r="I75" s="109"/>
      <c r="J75" s="109">
        <v>7850000</v>
      </c>
      <c r="M75" s="46"/>
    </row>
    <row r="76" spans="1:13">
      <c r="H76" s="109">
        <f>SUM(H74:H75)</f>
        <v>10216515.210000001</v>
      </c>
      <c r="I76" s="109"/>
      <c r="J76" s="109">
        <f>SUM(J74:J75)</f>
        <v>25346381.800000001</v>
      </c>
      <c r="M76" s="46"/>
    </row>
    <row r="77" spans="1:13" s="109" customFormat="1">
      <c r="A77" s="46"/>
      <c r="B77" s="46"/>
      <c r="C77" s="46"/>
      <c r="D77" s="46"/>
      <c r="E77" s="46"/>
      <c r="F77" s="46"/>
      <c r="G77" s="46"/>
    </row>
    <row r="78" spans="1:13" s="109" customFormat="1">
      <c r="A78" s="46"/>
      <c r="B78" s="46"/>
      <c r="C78" s="46"/>
      <c r="D78" s="46"/>
      <c r="E78" s="46"/>
      <c r="F78" s="46"/>
      <c r="G78" s="46"/>
    </row>
    <row r="79" spans="1:13" s="109" customFormat="1">
      <c r="A79" s="46"/>
      <c r="B79" s="46"/>
      <c r="C79" s="46"/>
      <c r="D79" s="46"/>
      <c r="E79" s="46"/>
      <c r="F79" s="46"/>
      <c r="G79" s="46"/>
    </row>
    <row r="80" spans="1:13" s="109" customFormat="1">
      <c r="A80" s="46"/>
      <c r="B80" s="46"/>
      <c r="C80" s="46"/>
      <c r="D80" s="46"/>
      <c r="E80" s="46"/>
      <c r="F80" s="46"/>
      <c r="G80" s="46"/>
    </row>
    <row r="81" spans="1:11" s="109" customFormat="1">
      <c r="A81" s="46"/>
      <c r="B81" s="46"/>
      <c r="C81" s="46"/>
      <c r="D81" s="46"/>
      <c r="E81" s="46"/>
      <c r="F81" s="46"/>
      <c r="G81" s="46"/>
    </row>
    <row r="82" spans="1:11" s="109" customFormat="1">
      <c r="A82" s="46"/>
      <c r="B82" s="46"/>
      <c r="C82" s="46"/>
      <c r="D82" s="46"/>
      <c r="E82" s="46"/>
      <c r="F82" s="46"/>
      <c r="G82" s="46"/>
    </row>
    <row r="83" spans="1:11" s="109" customFormat="1">
      <c r="A83" s="46"/>
      <c r="B83" s="46"/>
      <c r="C83" s="46"/>
      <c r="D83" s="46"/>
      <c r="E83" s="46"/>
      <c r="F83" s="46"/>
      <c r="G83" s="46"/>
      <c r="H83" s="46"/>
    </row>
    <row r="84" spans="1:11" s="109" customFormat="1">
      <c r="A84" s="46"/>
      <c r="B84" s="46"/>
      <c r="C84" s="46"/>
      <c r="D84" s="46"/>
      <c r="E84" s="46"/>
      <c r="F84" s="46"/>
      <c r="G84" s="46"/>
      <c r="H84" s="46"/>
    </row>
    <row r="85" spans="1:11" s="109" customFormat="1">
      <c r="A85" s="46"/>
      <c r="B85" s="46"/>
      <c r="C85" s="46"/>
      <c r="D85" s="46"/>
      <c r="E85" s="46"/>
      <c r="F85" s="46"/>
      <c r="G85" s="46"/>
      <c r="H85" s="46"/>
    </row>
    <row r="86" spans="1:11" s="109" customFormat="1">
      <c r="A86" s="46"/>
      <c r="B86" s="46"/>
      <c r="C86" s="46"/>
      <c r="D86" s="46"/>
      <c r="E86" s="46"/>
      <c r="F86" s="46"/>
      <c r="G86" s="46"/>
      <c r="H86" s="46"/>
    </row>
    <row r="87" spans="1:11" s="109" customFormat="1">
      <c r="A87" s="46"/>
      <c r="B87" s="46"/>
      <c r="C87" s="46"/>
      <c r="D87" s="46"/>
      <c r="E87" s="46"/>
      <c r="F87" s="46"/>
      <c r="G87" s="46"/>
      <c r="H87" s="46"/>
      <c r="K87" s="46"/>
    </row>
    <row r="88" spans="1:11" s="109" customFormat="1">
      <c r="A88" s="46"/>
      <c r="B88" s="46"/>
      <c r="C88" s="46"/>
      <c r="D88" s="46"/>
      <c r="E88" s="46"/>
      <c r="F88" s="46"/>
      <c r="G88" s="46"/>
      <c r="H88" s="46"/>
      <c r="K88" s="46"/>
    </row>
    <row r="89" spans="1:11" s="109" customFormat="1">
      <c r="A89" s="46"/>
      <c r="B89" s="46"/>
      <c r="C89" s="46"/>
      <c r="D89" s="46"/>
      <c r="E89" s="46"/>
      <c r="F89" s="46"/>
      <c r="G89" s="46"/>
      <c r="H89" s="46"/>
      <c r="K89" s="46"/>
    </row>
    <row r="90" spans="1:11" s="109" customFormat="1">
      <c r="A90" s="46"/>
      <c r="B90" s="46"/>
      <c r="C90" s="46"/>
      <c r="D90" s="46"/>
      <c r="E90" s="46"/>
      <c r="F90" s="46"/>
      <c r="G90" s="46"/>
      <c r="H90" s="46"/>
      <c r="K90" s="46"/>
    </row>
    <row r="91" spans="1:11" s="109" customFormat="1">
      <c r="A91" s="46"/>
      <c r="B91" s="46"/>
      <c r="C91" s="46"/>
      <c r="D91" s="46"/>
      <c r="E91" s="46"/>
      <c r="F91" s="46"/>
      <c r="G91" s="46"/>
      <c r="H91" s="46"/>
      <c r="K91" s="46"/>
    </row>
    <row r="92" spans="1:11" s="109" customFormat="1">
      <c r="A92" s="46"/>
      <c r="B92" s="46"/>
      <c r="C92" s="46"/>
      <c r="D92" s="46"/>
      <c r="E92" s="46"/>
      <c r="F92" s="46"/>
      <c r="G92" s="46"/>
      <c r="H92" s="46"/>
      <c r="K92" s="46"/>
    </row>
    <row r="93" spans="1:11" s="109" customFormat="1">
      <c r="A93" s="46"/>
      <c r="B93" s="46"/>
      <c r="C93" s="46"/>
      <c r="D93" s="46"/>
      <c r="E93" s="46"/>
      <c r="F93" s="46"/>
      <c r="G93" s="46"/>
      <c r="H93" s="46"/>
      <c r="K93" s="46"/>
    </row>
    <row r="94" spans="1:11" s="109" customFormat="1">
      <c r="A94" s="46"/>
      <c r="B94" s="46"/>
      <c r="C94" s="46"/>
      <c r="D94" s="46"/>
      <c r="E94" s="46"/>
      <c r="F94" s="46"/>
      <c r="G94" s="46"/>
      <c r="H94" s="46"/>
      <c r="K94" s="46"/>
    </row>
    <row r="95" spans="1:11" s="109" customFormat="1">
      <c r="A95" s="46"/>
      <c r="B95" s="46"/>
      <c r="C95" s="46"/>
      <c r="D95" s="46"/>
      <c r="E95" s="46"/>
      <c r="F95" s="46"/>
      <c r="G95" s="46"/>
      <c r="H95" s="46"/>
      <c r="K95" s="46"/>
    </row>
    <row r="96" spans="1:11" s="109" customFormat="1">
      <c r="A96" s="46"/>
      <c r="B96" s="46"/>
      <c r="C96" s="46"/>
      <c r="D96" s="46"/>
      <c r="E96" s="46"/>
      <c r="F96" s="46"/>
      <c r="G96" s="46"/>
      <c r="H96" s="46"/>
      <c r="K96" s="46"/>
    </row>
    <row r="97" spans="1:11" s="109" customFormat="1">
      <c r="A97" s="46"/>
      <c r="B97" s="46"/>
      <c r="C97" s="46"/>
      <c r="D97" s="46"/>
      <c r="E97" s="46"/>
      <c r="F97" s="46"/>
      <c r="G97" s="46"/>
      <c r="H97" s="46"/>
      <c r="K97" s="46"/>
    </row>
    <row r="98" spans="1:11" s="109" customFormat="1">
      <c r="A98" s="46"/>
      <c r="B98" s="46"/>
      <c r="C98" s="46"/>
      <c r="D98" s="46"/>
      <c r="E98" s="46"/>
      <c r="F98" s="46"/>
      <c r="G98" s="46"/>
      <c r="H98" s="46"/>
      <c r="K98" s="46"/>
    </row>
    <row r="99" spans="1:11" s="109" customFormat="1">
      <c r="A99" s="46"/>
      <c r="B99" s="46"/>
      <c r="C99" s="46"/>
      <c r="D99" s="46"/>
      <c r="E99" s="46"/>
      <c r="F99" s="46"/>
      <c r="G99" s="46"/>
      <c r="H99" s="46"/>
      <c r="K99" s="46"/>
    </row>
  </sheetData>
  <mergeCells count="3">
    <mergeCell ref="A2:J2"/>
    <mergeCell ref="A3:J3"/>
    <mergeCell ref="A4:J4"/>
  </mergeCells>
  <printOptions horizontalCentered="1"/>
  <pageMargins left="0.02" right="0.15" top="0.39" bottom="0.1" header="0.21" footer="0.1"/>
  <pageSetup scale="84" orientation="portrait" horizontalDpi="4294967293" verticalDpi="30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2060"/>
  </sheetPr>
  <dimension ref="A1:M100"/>
  <sheetViews>
    <sheetView topLeftCell="A10" workbookViewId="0">
      <selection activeCell="M19" sqref="M19"/>
    </sheetView>
  </sheetViews>
  <sheetFormatPr defaultRowHeight="12.75"/>
  <cols>
    <col min="1" max="1" width="6" style="46" customWidth="1"/>
    <col min="2" max="3" width="9.140625" style="46"/>
    <col min="4" max="4" width="16.5703125" style="46" customWidth="1"/>
    <col min="5" max="6" width="13.85546875" style="46" customWidth="1"/>
    <col min="7" max="7" width="10" style="46" customWidth="1"/>
    <col min="8" max="8" width="11.5703125" style="46" customWidth="1"/>
    <col min="9" max="9" width="11.42578125" style="46" customWidth="1"/>
    <col min="10" max="10" width="13.28515625" style="109" customWidth="1"/>
    <col min="11" max="11" width="15.7109375" style="46" customWidth="1"/>
    <col min="12" max="12" width="16.85546875" style="109" customWidth="1"/>
    <col min="13" max="13" width="17" style="109" customWidth="1"/>
    <col min="14" max="14" width="17" style="46" customWidth="1"/>
    <col min="15" max="16384" width="9.140625" style="46"/>
  </cols>
  <sheetData>
    <row r="1" spans="1:13">
      <c r="A1" s="47"/>
      <c r="B1" s="48"/>
      <c r="C1" s="48"/>
      <c r="D1" s="48"/>
      <c r="E1" s="48"/>
      <c r="F1" s="48"/>
      <c r="G1" s="48"/>
      <c r="H1" s="48"/>
      <c r="I1" s="48"/>
      <c r="J1" s="169" t="s">
        <v>81</v>
      </c>
    </row>
    <row r="2" spans="1:13">
      <c r="A2" s="389" t="s">
        <v>80</v>
      </c>
      <c r="B2" s="390"/>
      <c r="C2" s="390"/>
      <c r="D2" s="390"/>
      <c r="E2" s="390"/>
      <c r="F2" s="390"/>
      <c r="G2" s="390"/>
      <c r="H2" s="390"/>
      <c r="I2" s="390"/>
      <c r="J2" s="391"/>
    </row>
    <row r="3" spans="1:13">
      <c r="A3" s="389" t="s">
        <v>240</v>
      </c>
      <c r="B3" s="390"/>
      <c r="C3" s="390"/>
      <c r="D3" s="390"/>
      <c r="E3" s="390"/>
      <c r="F3" s="390"/>
      <c r="G3" s="390"/>
      <c r="H3" s="390"/>
      <c r="I3" s="390"/>
      <c r="J3" s="391"/>
    </row>
    <row r="4" spans="1:13">
      <c r="A4" s="389"/>
      <c r="B4" s="390"/>
      <c r="C4" s="390"/>
      <c r="D4" s="390"/>
      <c r="E4" s="390"/>
      <c r="F4" s="390"/>
      <c r="G4" s="390"/>
      <c r="H4" s="390"/>
      <c r="I4" s="390"/>
      <c r="J4" s="391"/>
    </row>
    <row r="5" spans="1:13">
      <c r="A5" s="54" t="s">
        <v>77</v>
      </c>
      <c r="B5" s="236"/>
      <c r="C5" s="236"/>
      <c r="D5" s="236"/>
      <c r="E5" s="236"/>
      <c r="F5" s="236"/>
      <c r="G5" s="236"/>
      <c r="H5" s="236"/>
      <c r="I5" s="236"/>
      <c r="J5" s="170"/>
    </row>
    <row r="6" spans="1:13">
      <c r="A6" s="54" t="s">
        <v>76</v>
      </c>
      <c r="B6" s="55"/>
      <c r="C6" s="55"/>
      <c r="D6" s="55"/>
      <c r="E6" s="55"/>
      <c r="F6" s="55"/>
      <c r="G6" s="55"/>
      <c r="H6" s="55"/>
      <c r="I6" s="55"/>
      <c r="J6" s="171"/>
      <c r="K6" s="46" t="s">
        <v>210</v>
      </c>
    </row>
    <row r="7" spans="1:13">
      <c r="A7" s="47"/>
      <c r="B7" s="48"/>
      <c r="C7" s="48"/>
      <c r="D7" s="49"/>
      <c r="E7" s="88" t="s">
        <v>8</v>
      </c>
      <c r="F7" s="50"/>
      <c r="G7" s="52"/>
      <c r="H7" s="52"/>
      <c r="I7" s="53"/>
      <c r="J7" s="110"/>
    </row>
    <row r="8" spans="1:13">
      <c r="A8" s="54"/>
      <c r="B8" s="55"/>
      <c r="C8" s="55"/>
      <c r="D8" s="56"/>
      <c r="E8" s="235" t="s">
        <v>9</v>
      </c>
      <c r="F8" s="53"/>
      <c r="G8" s="59"/>
      <c r="H8" s="59"/>
      <c r="I8" s="58"/>
      <c r="J8" s="111"/>
    </row>
    <row r="9" spans="1:13">
      <c r="A9" s="61" t="s">
        <v>68</v>
      </c>
      <c r="B9" s="55"/>
      <c r="C9" s="55"/>
      <c r="D9" s="56"/>
      <c r="E9" s="235" t="s">
        <v>10</v>
      </c>
      <c r="F9" s="60" t="s">
        <v>12</v>
      </c>
      <c r="G9" s="60" t="s">
        <v>14</v>
      </c>
      <c r="H9" s="60" t="s">
        <v>20</v>
      </c>
      <c r="I9" s="60" t="s">
        <v>22</v>
      </c>
      <c r="J9" s="112" t="s">
        <v>24</v>
      </c>
    </row>
    <row r="10" spans="1:13">
      <c r="A10" s="54"/>
      <c r="B10" s="55"/>
      <c r="C10" s="55"/>
      <c r="D10" s="56"/>
      <c r="E10" s="235" t="s">
        <v>11</v>
      </c>
      <c r="F10" s="60" t="s">
        <v>13</v>
      </c>
      <c r="G10" s="59"/>
      <c r="H10" s="60" t="s">
        <v>21</v>
      </c>
      <c r="I10" s="60" t="s">
        <v>23</v>
      </c>
      <c r="J10" s="111"/>
    </row>
    <row r="11" spans="1:13">
      <c r="A11" s="62"/>
      <c r="B11" s="63"/>
      <c r="C11" s="63"/>
      <c r="D11" s="64"/>
      <c r="E11" s="65">
        <v>0.3</v>
      </c>
      <c r="F11" s="66">
        <v>0.7</v>
      </c>
      <c r="G11" s="59"/>
      <c r="H11" s="67"/>
      <c r="I11" s="68"/>
      <c r="J11" s="113"/>
    </row>
    <row r="12" spans="1:13" ht="18" customHeight="1">
      <c r="A12" s="70" t="s">
        <v>0</v>
      </c>
      <c r="B12" s="71"/>
      <c r="C12" s="71"/>
      <c r="D12" s="72"/>
      <c r="E12" s="51"/>
      <c r="F12" s="51"/>
      <c r="G12" s="51"/>
      <c r="H12" s="51"/>
      <c r="I12" s="51"/>
      <c r="J12" s="110"/>
      <c r="L12" s="118" t="s">
        <v>90</v>
      </c>
      <c r="M12" s="118" t="s">
        <v>89</v>
      </c>
    </row>
    <row r="13" spans="1:13" ht="18" customHeight="1">
      <c r="A13" s="73" t="s">
        <v>1</v>
      </c>
      <c r="B13" s="72"/>
      <c r="C13" s="72"/>
      <c r="D13" s="72"/>
      <c r="E13" s="94">
        <f>M19*0.3</f>
        <v>979771.63365000032</v>
      </c>
      <c r="F13" s="94">
        <f>M19*0.7</f>
        <v>2286133.8118500006</v>
      </c>
      <c r="G13" s="94"/>
      <c r="H13" s="94"/>
      <c r="I13" s="94"/>
      <c r="J13" s="114">
        <f>SUM(E13:I13)</f>
        <v>3265905.4455000008</v>
      </c>
      <c r="K13" s="175" t="e">
        <f>SUM(J13+#REF!+#REF!+#REF!+#REF!+#REF!+#REF!+#REF!+#REF!+#REF!+#REF!+#REF!)</f>
        <v>#REF!</v>
      </c>
      <c r="L13" s="109">
        <v>21367644.399999999</v>
      </c>
      <c r="M13" s="109">
        <v>4171566.4</v>
      </c>
    </row>
    <row r="14" spans="1:13" ht="18" customHeight="1">
      <c r="A14" s="73" t="s">
        <v>2</v>
      </c>
      <c r="B14" s="72"/>
      <c r="C14" s="72"/>
      <c r="D14" s="72"/>
      <c r="E14" s="102"/>
      <c r="F14" s="102"/>
      <c r="G14" s="102"/>
      <c r="H14" s="102"/>
      <c r="I14" s="102"/>
      <c r="J14" s="110">
        <f>SUM(E14:I14)</f>
        <v>0</v>
      </c>
      <c r="K14" s="117" t="s">
        <v>88</v>
      </c>
      <c r="L14" s="109">
        <v>9400000</v>
      </c>
      <c r="M14" s="109">
        <v>5637398.9699999997</v>
      </c>
    </row>
    <row r="15" spans="1:13" ht="18" customHeight="1">
      <c r="A15" s="75" t="s">
        <v>3</v>
      </c>
      <c r="B15" s="48"/>
      <c r="C15" s="48"/>
      <c r="D15" s="48"/>
      <c r="E15" s="102"/>
      <c r="F15" s="102"/>
      <c r="G15" s="102"/>
      <c r="H15" s="102"/>
      <c r="I15" s="102"/>
      <c r="J15" s="110"/>
      <c r="L15" s="116">
        <f>SUM(L13:L14)</f>
        <v>30767644.399999999</v>
      </c>
      <c r="M15" s="116">
        <f>SUM(M13:M14)</f>
        <v>9808965.3699999992</v>
      </c>
    </row>
    <row r="16" spans="1:13" ht="18" customHeight="1">
      <c r="A16" s="76" t="s">
        <v>78</v>
      </c>
      <c r="B16" s="55"/>
      <c r="C16" s="55"/>
      <c r="D16" s="55"/>
      <c r="E16" s="103"/>
      <c r="F16" s="103"/>
      <c r="G16" s="103"/>
      <c r="H16" s="103"/>
      <c r="I16" s="103"/>
      <c r="J16" s="113">
        <f>SUM(E16:I16)</f>
        <v>0</v>
      </c>
      <c r="K16" s="46">
        <v>11930281.960000001</v>
      </c>
    </row>
    <row r="17" spans="1:13" ht="18" customHeight="1">
      <c r="A17" s="77" t="s">
        <v>79</v>
      </c>
      <c r="B17" s="72"/>
      <c r="C17" s="72"/>
      <c r="D17" s="72"/>
      <c r="E17" s="94"/>
      <c r="F17" s="94"/>
      <c r="G17" s="94"/>
      <c r="H17" s="94"/>
      <c r="I17" s="94"/>
      <c r="J17" s="113">
        <f>SUM(E17:I17)</f>
        <v>0</v>
      </c>
      <c r="K17" s="173">
        <f>K16-J16</f>
        <v>11930281.960000001</v>
      </c>
      <c r="M17" s="109">
        <v>25936573.030000001</v>
      </c>
    </row>
    <row r="18" spans="1:13" ht="18" customHeight="1">
      <c r="A18" s="70" t="s">
        <v>7</v>
      </c>
      <c r="B18" s="72"/>
      <c r="C18" s="72"/>
      <c r="D18" s="72"/>
      <c r="E18" s="119">
        <f>SUM(E13:E17)</f>
        <v>979771.63365000032</v>
      </c>
      <c r="F18" s="119">
        <f t="shared" ref="F18:J18" si="0">SUM(F13:F17)</f>
        <v>2286133.8118500006</v>
      </c>
      <c r="G18" s="119">
        <f t="shared" si="0"/>
        <v>0</v>
      </c>
      <c r="H18" s="119">
        <f t="shared" si="0"/>
        <v>0</v>
      </c>
      <c r="I18" s="119">
        <f t="shared" si="0"/>
        <v>0</v>
      </c>
      <c r="J18" s="119">
        <f t="shared" si="0"/>
        <v>3265905.4455000008</v>
      </c>
      <c r="K18" s="166">
        <f t="shared" ref="K18:K44" si="1">SUM(E18:I18)</f>
        <v>3265905.4455000008</v>
      </c>
      <c r="L18" s="193" t="s">
        <v>171</v>
      </c>
      <c r="M18" s="192">
        <f>268784153.98-203466045.07</f>
        <v>65318108.910000026</v>
      </c>
    </row>
    <row r="19" spans="1:13" s="109" customFormat="1" ht="18" customHeight="1">
      <c r="A19" s="74" t="s">
        <v>99</v>
      </c>
      <c r="B19" s="72" t="s">
        <v>100</v>
      </c>
      <c r="C19" s="72"/>
      <c r="D19" s="72"/>
      <c r="E19" s="94">
        <f>SUM('DRRM Funds Mar2015 Rev'!E45)</f>
        <v>12322123.875199998</v>
      </c>
      <c r="F19" s="94">
        <f>SUM('DRRM Funds Mar2015 Rev'!F45)</f>
        <v>19072453.488799997</v>
      </c>
      <c r="G19" s="94">
        <f>SUM('DRRM Funds Mar2015 Rev'!G45)</f>
        <v>0</v>
      </c>
      <c r="H19" s="94">
        <f>SUM('DRRM Funds Mar2015 Rev'!H45)</f>
        <v>0</v>
      </c>
      <c r="I19" s="94">
        <f>SUM('DRRM Funds Mar2015 Rev'!I45)</f>
        <v>0</v>
      </c>
      <c r="J19" s="94">
        <f>SUM('DRRM Funds Mar2015 Rev'!J45)</f>
        <v>31394577.364</v>
      </c>
      <c r="K19" s="166">
        <f t="shared" si="1"/>
        <v>31394577.363999993</v>
      </c>
      <c r="L19" s="194">
        <v>0.05</v>
      </c>
      <c r="M19" s="262">
        <f>M18*0.05</f>
        <v>3265905.4455000013</v>
      </c>
    </row>
    <row r="20" spans="1:13" s="109" customFormat="1" ht="18" customHeight="1">
      <c r="A20" s="70" t="s">
        <v>101</v>
      </c>
      <c r="B20" s="122"/>
      <c r="C20" s="72"/>
      <c r="D20" s="72"/>
      <c r="E20" s="119">
        <f>SUM(E18:E19)</f>
        <v>13301895.508849999</v>
      </c>
      <c r="F20" s="119">
        <f t="shared" ref="F20:J20" si="2">SUM(F18:F19)</f>
        <v>21358587.300649997</v>
      </c>
      <c r="G20" s="119">
        <f t="shared" si="2"/>
        <v>0</v>
      </c>
      <c r="H20" s="119">
        <f t="shared" si="2"/>
        <v>0</v>
      </c>
      <c r="I20" s="119">
        <f t="shared" si="2"/>
        <v>0</v>
      </c>
      <c r="J20" s="119">
        <f t="shared" si="2"/>
        <v>34660482.809500001</v>
      </c>
      <c r="K20" s="166">
        <f t="shared" si="1"/>
        <v>34660482.809499994</v>
      </c>
    </row>
    <row r="21" spans="1:13" ht="18" customHeight="1">
      <c r="A21" s="70" t="s">
        <v>15</v>
      </c>
      <c r="B21" s="72"/>
      <c r="C21" s="72"/>
      <c r="D21" s="72"/>
      <c r="E21" s="94"/>
      <c r="F21" s="94"/>
      <c r="G21" s="94"/>
      <c r="H21" s="94"/>
      <c r="I21" s="94"/>
      <c r="J21" s="114"/>
      <c r="K21" s="166">
        <f t="shared" si="1"/>
        <v>0</v>
      </c>
      <c r="M21" s="109">
        <v>26972032.48</v>
      </c>
    </row>
    <row r="22" spans="1:13" ht="18" customHeight="1">
      <c r="A22" s="78" t="s">
        <v>206</v>
      </c>
      <c r="B22" s="72"/>
      <c r="C22" s="72"/>
      <c r="D22" s="72"/>
      <c r="E22" s="94"/>
      <c r="F22" s="94"/>
      <c r="G22" s="94"/>
      <c r="H22" s="94"/>
      <c r="I22" s="94"/>
      <c r="J22" s="114">
        <f>SUM(E22:I22)</f>
        <v>0</v>
      </c>
      <c r="K22" s="166"/>
    </row>
    <row r="23" spans="1:13" ht="18" customHeight="1">
      <c r="A23" s="78" t="s">
        <v>207</v>
      </c>
      <c r="B23" s="72"/>
      <c r="C23" s="72"/>
      <c r="D23" s="72"/>
      <c r="E23" s="94"/>
      <c r="F23" s="94"/>
      <c r="G23" s="94"/>
      <c r="H23" s="94"/>
      <c r="I23" s="94"/>
      <c r="J23" s="114">
        <f t="shared" ref="J23:J41" si="3">SUM(E23:I23)</f>
        <v>0</v>
      </c>
      <c r="K23" s="166"/>
    </row>
    <row r="24" spans="1:13" ht="18" customHeight="1">
      <c r="A24" s="78" t="s">
        <v>228</v>
      </c>
      <c r="B24" s="72"/>
      <c r="C24" s="72"/>
      <c r="D24" s="72"/>
      <c r="E24" s="94"/>
      <c r="F24" s="94"/>
      <c r="G24" s="94"/>
      <c r="H24" s="94"/>
      <c r="I24" s="94"/>
      <c r="J24" s="114">
        <f t="shared" si="3"/>
        <v>0</v>
      </c>
      <c r="K24" s="166">
        <f t="shared" si="1"/>
        <v>0</v>
      </c>
      <c r="L24" s="176">
        <f>518731460.56*0.05</f>
        <v>25936573.028000001</v>
      </c>
      <c r="M24" s="109">
        <v>125607.13</v>
      </c>
    </row>
    <row r="25" spans="1:13" ht="18" customHeight="1">
      <c r="A25" s="78" t="s">
        <v>229</v>
      </c>
      <c r="B25" s="72"/>
      <c r="C25" s="72"/>
      <c r="D25" s="72"/>
      <c r="E25" s="94"/>
      <c r="F25" s="94">
        <v>19993</v>
      </c>
      <c r="G25" s="94"/>
      <c r="H25" s="94"/>
      <c r="I25" s="94"/>
      <c r="J25" s="114">
        <f t="shared" si="3"/>
        <v>19993</v>
      </c>
      <c r="K25" s="166"/>
      <c r="L25" s="228"/>
    </row>
    <row r="26" spans="1:13" ht="18" customHeight="1">
      <c r="A26" s="78" t="s">
        <v>70</v>
      </c>
      <c r="B26" s="72"/>
      <c r="C26" s="72"/>
      <c r="D26" s="72"/>
      <c r="E26" s="94"/>
      <c r="F26" s="94">
        <v>168454</v>
      </c>
      <c r="G26" s="94"/>
      <c r="H26" s="94"/>
      <c r="I26" s="94"/>
      <c r="J26" s="114">
        <f t="shared" si="3"/>
        <v>168454</v>
      </c>
      <c r="K26" s="166">
        <f t="shared" si="1"/>
        <v>168454</v>
      </c>
      <c r="L26" s="109" t="e">
        <f>L24-K13</f>
        <v>#REF!</v>
      </c>
      <c r="M26" s="109">
        <v>510000</v>
      </c>
    </row>
    <row r="27" spans="1:13" ht="18" customHeight="1">
      <c r="A27" s="78" t="s">
        <v>71</v>
      </c>
      <c r="B27" s="72"/>
      <c r="C27" s="72"/>
      <c r="D27" s="72"/>
      <c r="E27" s="94"/>
      <c r="F27" s="94">
        <v>497278.2</v>
      </c>
      <c r="G27" s="94"/>
      <c r="H27" s="94"/>
      <c r="I27" s="94"/>
      <c r="J27" s="114">
        <f t="shared" si="3"/>
        <v>497278.2</v>
      </c>
      <c r="K27" s="166">
        <f t="shared" si="1"/>
        <v>497278.2</v>
      </c>
      <c r="M27" s="109">
        <v>1430000</v>
      </c>
    </row>
    <row r="28" spans="1:13" ht="18" customHeight="1">
      <c r="A28" s="79" t="s">
        <v>91</v>
      </c>
      <c r="B28" s="72"/>
      <c r="C28" s="72"/>
      <c r="D28" s="72"/>
      <c r="E28" s="94"/>
      <c r="F28" s="94"/>
      <c r="G28" s="94"/>
      <c r="H28" s="94"/>
      <c r="I28" s="94"/>
      <c r="J28" s="114">
        <f t="shared" si="3"/>
        <v>0</v>
      </c>
      <c r="K28" s="166">
        <f t="shared" si="1"/>
        <v>0</v>
      </c>
      <c r="M28" s="109">
        <v>4285413.1100000003</v>
      </c>
    </row>
    <row r="29" spans="1:13" ht="18" customHeight="1">
      <c r="A29" s="78" t="s">
        <v>243</v>
      </c>
      <c r="B29" s="72"/>
      <c r="C29" s="72"/>
      <c r="D29" s="72"/>
      <c r="E29" s="94"/>
      <c r="F29" s="94"/>
      <c r="G29" s="94"/>
      <c r="H29" s="94"/>
      <c r="I29" s="94"/>
      <c r="J29" s="114">
        <f t="shared" si="3"/>
        <v>0</v>
      </c>
      <c r="K29" s="166">
        <f t="shared" si="1"/>
        <v>0</v>
      </c>
      <c r="M29" s="109">
        <v>3777930</v>
      </c>
    </row>
    <row r="30" spans="1:13" ht="18" customHeight="1">
      <c r="A30" s="78" t="s">
        <v>227</v>
      </c>
      <c r="B30" s="72"/>
      <c r="C30" s="72"/>
      <c r="D30" s="72"/>
      <c r="E30" s="94"/>
      <c r="F30" s="94"/>
      <c r="G30" s="94"/>
      <c r="H30" s="94"/>
      <c r="I30" s="94"/>
      <c r="J30" s="114">
        <f t="shared" si="3"/>
        <v>0</v>
      </c>
      <c r="K30" s="166">
        <f t="shared" si="1"/>
        <v>0</v>
      </c>
      <c r="L30" s="118" t="s">
        <v>162</v>
      </c>
      <c r="M30" s="109">
        <v>100</v>
      </c>
    </row>
    <row r="31" spans="1:13" ht="18" customHeight="1">
      <c r="A31" s="78" t="s">
        <v>213</v>
      </c>
      <c r="B31" s="72"/>
      <c r="C31" s="72"/>
      <c r="D31" s="72"/>
      <c r="E31" s="94"/>
      <c r="F31" s="94"/>
      <c r="G31" s="94"/>
      <c r="H31" s="94"/>
      <c r="I31" s="94"/>
      <c r="J31" s="114">
        <f t="shared" si="3"/>
        <v>0</v>
      </c>
      <c r="K31" s="166"/>
      <c r="L31" s="118"/>
      <c r="M31" s="109">
        <f>SUM(M24:M30)</f>
        <v>10129050.24</v>
      </c>
    </row>
    <row r="32" spans="1:13" ht="18" customHeight="1">
      <c r="A32" s="78" t="s">
        <v>214</v>
      </c>
      <c r="B32" s="72"/>
      <c r="C32" s="72"/>
      <c r="D32" s="72"/>
      <c r="E32" s="94"/>
      <c r="F32" s="94"/>
      <c r="G32" s="94"/>
      <c r="H32" s="94"/>
      <c r="I32" s="94"/>
      <c r="J32" s="114">
        <f t="shared" si="3"/>
        <v>0</v>
      </c>
      <c r="K32" s="227" t="s">
        <v>226</v>
      </c>
      <c r="L32" s="118"/>
    </row>
    <row r="33" spans="1:13" ht="18" customHeight="1">
      <c r="A33" s="78" t="s">
        <v>102</v>
      </c>
      <c r="B33" s="72"/>
      <c r="C33" s="72"/>
      <c r="D33" s="72"/>
      <c r="E33" s="94"/>
      <c r="F33" s="94"/>
      <c r="G33" s="94"/>
      <c r="H33" s="94"/>
      <c r="I33" s="94"/>
      <c r="J33" s="114">
        <f t="shared" si="3"/>
        <v>0</v>
      </c>
      <c r="K33" s="226">
        <f t="shared" si="1"/>
        <v>0</v>
      </c>
      <c r="L33" s="109">
        <f>SUM(F30:F33)</f>
        <v>0</v>
      </c>
    </row>
    <row r="34" spans="1:13" ht="18" customHeight="1">
      <c r="A34" s="78" t="s">
        <v>19</v>
      </c>
      <c r="B34" s="72"/>
      <c r="C34" s="72"/>
      <c r="D34" s="72"/>
      <c r="E34" s="94"/>
      <c r="F34" s="94"/>
      <c r="G34" s="94"/>
      <c r="H34" s="94"/>
      <c r="I34" s="94"/>
      <c r="J34" s="114">
        <f t="shared" si="3"/>
        <v>0</v>
      </c>
      <c r="K34" s="166">
        <f t="shared" si="1"/>
        <v>0</v>
      </c>
      <c r="L34" s="109">
        <v>147060</v>
      </c>
    </row>
    <row r="35" spans="1:13" ht="18" customHeight="1">
      <c r="A35" s="78" t="s">
        <v>168</v>
      </c>
      <c r="B35" s="72"/>
      <c r="C35" s="72"/>
      <c r="D35" s="72"/>
      <c r="E35" s="94"/>
      <c r="F35" s="94"/>
      <c r="G35" s="94"/>
      <c r="H35" s="94"/>
      <c r="I35" s="94"/>
      <c r="J35" s="114">
        <f t="shared" si="3"/>
        <v>0</v>
      </c>
      <c r="K35" s="166">
        <f t="shared" si="1"/>
        <v>0</v>
      </c>
    </row>
    <row r="36" spans="1:13" ht="18" customHeight="1">
      <c r="A36" s="78" t="s">
        <v>208</v>
      </c>
      <c r="B36" s="72"/>
      <c r="C36" s="72"/>
      <c r="D36" s="72"/>
      <c r="E36" s="94"/>
      <c r="F36" s="94"/>
      <c r="G36" s="94"/>
      <c r="H36" s="94"/>
      <c r="I36" s="94"/>
      <c r="J36" s="114">
        <f t="shared" si="3"/>
        <v>0</v>
      </c>
      <c r="K36" s="166">
        <f t="shared" si="1"/>
        <v>0</v>
      </c>
      <c r="L36" s="109">
        <v>1555500</v>
      </c>
    </row>
    <row r="37" spans="1:13" ht="18" customHeight="1">
      <c r="A37" s="78"/>
      <c r="B37" s="72" t="s">
        <v>209</v>
      </c>
      <c r="C37" s="72"/>
      <c r="D37" s="72"/>
      <c r="E37" s="94"/>
      <c r="F37" s="94"/>
      <c r="G37" s="94"/>
      <c r="H37" s="94"/>
      <c r="I37" s="94"/>
      <c r="J37" s="114">
        <f t="shared" si="3"/>
        <v>0</v>
      </c>
      <c r="K37" s="166">
        <f t="shared" si="1"/>
        <v>0</v>
      </c>
      <c r="L37" s="109">
        <v>2209000</v>
      </c>
    </row>
    <row r="38" spans="1:13" ht="18" customHeight="1">
      <c r="A38" s="78" t="s">
        <v>75</v>
      </c>
      <c r="B38" s="72"/>
      <c r="C38" s="72"/>
      <c r="D38" s="72"/>
      <c r="E38" s="94"/>
      <c r="F38" s="94"/>
      <c r="G38" s="94"/>
      <c r="H38" s="94"/>
      <c r="I38" s="94"/>
      <c r="J38" s="114">
        <f t="shared" si="3"/>
        <v>0</v>
      </c>
      <c r="K38" s="166">
        <f t="shared" si="1"/>
        <v>0</v>
      </c>
      <c r="L38" s="109">
        <v>173800</v>
      </c>
    </row>
    <row r="39" spans="1:13" ht="18" customHeight="1">
      <c r="A39" s="79" t="s">
        <v>94</v>
      </c>
      <c r="B39" s="72"/>
      <c r="C39" s="72"/>
      <c r="D39" s="72"/>
      <c r="E39" s="94"/>
      <c r="F39" s="94"/>
      <c r="G39" s="94"/>
      <c r="H39" s="94"/>
      <c r="I39" s="94"/>
      <c r="J39" s="114">
        <f t="shared" si="3"/>
        <v>0</v>
      </c>
      <c r="K39" s="166">
        <f t="shared" si="1"/>
        <v>0</v>
      </c>
      <c r="L39" s="109">
        <v>177000</v>
      </c>
    </row>
    <row r="40" spans="1:13" ht="18" customHeight="1">
      <c r="A40" s="79" t="s">
        <v>95</v>
      </c>
      <c r="B40" s="72"/>
      <c r="C40" s="72"/>
      <c r="D40" s="72"/>
      <c r="E40" s="94"/>
      <c r="F40" s="94"/>
      <c r="G40" s="94"/>
      <c r="H40" s="94"/>
      <c r="I40" s="94"/>
      <c r="J40" s="114">
        <f t="shared" si="3"/>
        <v>0</v>
      </c>
      <c r="K40" s="166">
        <f t="shared" si="1"/>
        <v>0</v>
      </c>
      <c r="L40" s="109">
        <v>204055</v>
      </c>
    </row>
    <row r="41" spans="1:13" ht="18" customHeight="1">
      <c r="A41" s="78" t="s">
        <v>96</v>
      </c>
      <c r="B41" s="72"/>
      <c r="C41" s="72"/>
      <c r="D41" s="72"/>
      <c r="E41" s="94"/>
      <c r="F41" s="94"/>
      <c r="G41" s="94"/>
      <c r="H41" s="94"/>
      <c r="I41" s="94"/>
      <c r="J41" s="114">
        <f t="shared" si="3"/>
        <v>0</v>
      </c>
      <c r="K41" s="166">
        <f t="shared" si="1"/>
        <v>0</v>
      </c>
      <c r="L41" s="109">
        <v>71070</v>
      </c>
    </row>
    <row r="42" spans="1:13" ht="18" customHeight="1">
      <c r="A42" s="84" t="s">
        <v>92</v>
      </c>
      <c r="B42" s="63"/>
      <c r="C42" s="63"/>
      <c r="D42" s="63"/>
      <c r="E42" s="94">
        <f t="shared" ref="E42:J42" si="4">SUM(E22:E41)</f>
        <v>0</v>
      </c>
      <c r="F42" s="94">
        <f t="shared" si="4"/>
        <v>685725.2</v>
      </c>
      <c r="G42" s="94">
        <f t="shared" si="4"/>
        <v>0</v>
      </c>
      <c r="H42" s="94">
        <f t="shared" si="4"/>
        <v>0</v>
      </c>
      <c r="I42" s="94">
        <f t="shared" si="4"/>
        <v>0</v>
      </c>
      <c r="J42" s="94">
        <f t="shared" si="4"/>
        <v>685725.2</v>
      </c>
      <c r="K42" s="166">
        <f t="shared" si="1"/>
        <v>685725.2</v>
      </c>
      <c r="L42" s="109">
        <v>27800</v>
      </c>
      <c r="M42" s="46"/>
    </row>
    <row r="43" spans="1:13" ht="18" customHeight="1">
      <c r="A43" s="84" t="s">
        <v>103</v>
      </c>
      <c r="B43" s="63"/>
      <c r="C43" s="63"/>
      <c r="D43" s="63"/>
      <c r="E43" s="103">
        <f>SUM('DRRM Funds Mar2015 Rev'!E44)</f>
        <v>0</v>
      </c>
      <c r="F43" s="103">
        <f>SUM('DRRM Funds Mar2015 Rev'!F44)</f>
        <v>10075705.949999999</v>
      </c>
      <c r="G43" s="103">
        <f>SUM('DRRM Funds Mar2015 Rev'!G44)</f>
        <v>0</v>
      </c>
      <c r="H43" s="103">
        <f>SUM('DRRM Funds Mar2015 Rev'!H44)</f>
        <v>0</v>
      </c>
      <c r="I43" s="103">
        <f>SUM('DRRM Funds Mar2015 Rev'!I44)</f>
        <v>0</v>
      </c>
      <c r="J43" s="103">
        <f>SUM('DRRM Funds Mar2015 Rev'!J44)</f>
        <v>10075705.949999999</v>
      </c>
      <c r="K43" s="166">
        <f t="shared" si="1"/>
        <v>10075705.949999999</v>
      </c>
      <c r="L43" s="109">
        <v>126865</v>
      </c>
      <c r="M43" s="109">
        <f>SUM(E43:H43)</f>
        <v>10075705.949999999</v>
      </c>
    </row>
    <row r="44" spans="1:13" ht="18" customHeight="1">
      <c r="A44" s="84" t="s">
        <v>104</v>
      </c>
      <c r="B44" s="63"/>
      <c r="C44" s="63"/>
      <c r="D44" s="63"/>
      <c r="E44" s="103">
        <f>SUM(E42:E43)</f>
        <v>0</v>
      </c>
      <c r="F44" s="103">
        <f>SUM(F42:F43)</f>
        <v>10761431.149999999</v>
      </c>
      <c r="G44" s="103">
        <f t="shared" ref="G44:J44" si="5">SUM(G42:G43)</f>
        <v>0</v>
      </c>
      <c r="H44" s="103">
        <f t="shared" si="5"/>
        <v>0</v>
      </c>
      <c r="I44" s="103">
        <f t="shared" si="5"/>
        <v>0</v>
      </c>
      <c r="J44" s="103">
        <f t="shared" si="5"/>
        <v>10761431.149999999</v>
      </c>
      <c r="K44" s="166">
        <f t="shared" si="1"/>
        <v>10761431.149999999</v>
      </c>
      <c r="L44" s="174">
        <f>SUM(L33:L43)</f>
        <v>4692150</v>
      </c>
      <c r="M44" s="109">
        <v>10492358.970000001</v>
      </c>
    </row>
    <row r="45" spans="1:13" ht="18" customHeight="1">
      <c r="A45" s="70" t="s">
        <v>93</v>
      </c>
      <c r="B45" s="72"/>
      <c r="C45" s="72"/>
      <c r="D45" s="80"/>
      <c r="E45" s="231">
        <f t="shared" ref="E45:J45" si="6">E20-E42</f>
        <v>13301895.508849999</v>
      </c>
      <c r="F45" s="231">
        <f t="shared" si="6"/>
        <v>20672862.100649998</v>
      </c>
      <c r="G45" s="231">
        <f t="shared" si="6"/>
        <v>0</v>
      </c>
      <c r="H45" s="231">
        <f t="shared" si="6"/>
        <v>0</v>
      </c>
      <c r="I45" s="231">
        <f t="shared" si="6"/>
        <v>0</v>
      </c>
      <c r="J45" s="231">
        <f t="shared" si="6"/>
        <v>33974757.609499998</v>
      </c>
      <c r="K45" s="166">
        <f>SUM(E45:I45)</f>
        <v>33974757.609499998</v>
      </c>
      <c r="L45" s="46"/>
      <c r="M45" s="109">
        <f>M44-L44</f>
        <v>5800208.9700000007</v>
      </c>
    </row>
    <row r="46" spans="1:13" ht="18" customHeight="1">
      <c r="A46" s="55"/>
      <c r="B46" s="55"/>
      <c r="C46" s="55"/>
      <c r="D46" s="55"/>
      <c r="E46" s="55"/>
      <c r="F46" s="55"/>
      <c r="G46" s="55"/>
      <c r="H46" s="55"/>
      <c r="I46" s="55"/>
      <c r="J46" s="115" t="s">
        <v>74</v>
      </c>
      <c r="K46" s="92">
        <f>SUM(E45:F45)</f>
        <v>33974757.609499998</v>
      </c>
      <c r="M46" s="109">
        <v>0</v>
      </c>
    </row>
    <row r="47" spans="1:13">
      <c r="A47" s="55" t="s">
        <v>83</v>
      </c>
      <c r="B47" s="55"/>
      <c r="C47" s="55"/>
      <c r="D47" s="55"/>
      <c r="E47" s="55"/>
      <c r="F47" s="55"/>
      <c r="G47" s="55"/>
      <c r="H47" s="55" t="s">
        <v>29</v>
      </c>
      <c r="I47" s="55"/>
      <c r="J47" s="115"/>
      <c r="K47" s="55"/>
      <c r="L47" s="109">
        <v>752760</v>
      </c>
    </row>
    <row r="48" spans="1:13">
      <c r="A48" s="55"/>
      <c r="B48" s="55"/>
      <c r="C48" s="55"/>
      <c r="D48" s="55"/>
      <c r="E48" s="55"/>
      <c r="F48" s="55"/>
      <c r="G48" s="55"/>
      <c r="H48" s="55"/>
      <c r="I48" s="55"/>
      <c r="J48" s="115"/>
      <c r="K48" s="55"/>
      <c r="L48" s="109">
        <v>902075</v>
      </c>
    </row>
    <row r="49" spans="1:13">
      <c r="A49" s="55" t="s">
        <v>202</v>
      </c>
      <c r="B49" s="55"/>
      <c r="C49" s="55"/>
      <c r="D49" s="55"/>
      <c r="E49" s="55"/>
      <c r="F49" s="55"/>
      <c r="G49" s="55"/>
      <c r="H49" s="140" t="s">
        <v>194</v>
      </c>
      <c r="I49" s="55"/>
      <c r="J49" s="115"/>
      <c r="K49" s="55"/>
      <c r="L49" s="109">
        <v>504234.65</v>
      </c>
      <c r="M49" s="109">
        <v>8736531.7100000009</v>
      </c>
    </row>
    <row r="50" spans="1:13">
      <c r="A50" s="140" t="s">
        <v>203</v>
      </c>
      <c r="B50" s="55"/>
      <c r="C50" s="55"/>
      <c r="D50" s="55"/>
      <c r="E50" s="234" t="s">
        <v>237</v>
      </c>
      <c r="F50" s="55"/>
      <c r="G50" s="55"/>
      <c r="H50" s="140" t="s">
        <v>195</v>
      </c>
      <c r="I50" s="55"/>
      <c r="J50" s="115"/>
      <c r="K50" s="55"/>
      <c r="L50" s="109">
        <v>899145</v>
      </c>
      <c r="M50" s="109">
        <v>10140</v>
      </c>
    </row>
    <row r="51" spans="1:13">
      <c r="A51" s="140"/>
      <c r="B51" s="55"/>
      <c r="C51" s="55"/>
      <c r="D51" s="55"/>
      <c r="E51" s="115"/>
      <c r="F51" s="55"/>
      <c r="G51" s="55"/>
      <c r="H51" s="140"/>
      <c r="I51" s="55"/>
      <c r="J51" s="115"/>
      <c r="K51" s="55"/>
    </row>
    <row r="52" spans="1:13">
      <c r="A52" s="55"/>
      <c r="B52" s="55"/>
      <c r="C52" s="55"/>
      <c r="D52" s="55"/>
      <c r="E52" s="82" t="s">
        <v>149</v>
      </c>
      <c r="F52" s="55"/>
      <c r="G52" s="55"/>
      <c r="H52" s="55"/>
      <c r="I52" s="55"/>
      <c r="J52" s="115"/>
      <c r="K52" s="55"/>
      <c r="L52" s="109">
        <v>1087927.3999999999</v>
      </c>
      <c r="M52" s="109">
        <f>SUM(M49:M50)</f>
        <v>8746671.7100000009</v>
      </c>
    </row>
    <row r="53" spans="1:13">
      <c r="A53" s="55"/>
      <c r="B53" s="55"/>
      <c r="C53" s="55"/>
      <c r="D53" s="55"/>
      <c r="E53" s="55" t="s">
        <v>238</v>
      </c>
      <c r="F53" s="55"/>
      <c r="G53" s="55"/>
      <c r="H53" s="55"/>
      <c r="I53" s="115"/>
      <c r="J53" s="115"/>
      <c r="K53" s="55"/>
      <c r="L53" s="109">
        <v>2896515.5</v>
      </c>
    </row>
    <row r="54" spans="1:13">
      <c r="A54" s="55"/>
      <c r="B54" s="55"/>
      <c r="C54" s="55"/>
      <c r="D54" s="55"/>
      <c r="E54" s="82"/>
      <c r="F54" s="55"/>
      <c r="G54" s="55"/>
      <c r="H54" s="55"/>
      <c r="I54" s="115"/>
      <c r="J54" s="115"/>
      <c r="K54" s="55"/>
      <c r="L54" s="109">
        <v>120000</v>
      </c>
    </row>
    <row r="55" spans="1:13">
      <c r="E55" s="55"/>
      <c r="F55" s="55"/>
      <c r="I55" s="109"/>
      <c r="M55" s="46"/>
    </row>
    <row r="56" spans="1:13">
      <c r="E56" s="55"/>
      <c r="F56" s="55"/>
      <c r="I56" s="109"/>
      <c r="M56" s="46"/>
    </row>
    <row r="57" spans="1:13">
      <c r="E57" s="55"/>
      <c r="F57" s="55"/>
      <c r="I57" s="109"/>
      <c r="M57" s="46"/>
    </row>
    <row r="58" spans="1:13">
      <c r="F58" s="121">
        <f>F18-F59</f>
        <v>110979.51185000082</v>
      </c>
      <c r="I58" s="109"/>
      <c r="K58" s="55"/>
      <c r="L58" s="115">
        <v>630000</v>
      </c>
      <c r="M58" s="183">
        <v>10644424.82</v>
      </c>
    </row>
    <row r="59" spans="1:13">
      <c r="F59" s="115">
        <f>49980+103610+255752.8+265335+81917.75+32889+315132+287135.25+143400+640002.5</f>
        <v>2175154.2999999998</v>
      </c>
      <c r="I59" s="109"/>
      <c r="J59" s="109">
        <v>7850000</v>
      </c>
      <c r="L59" s="109">
        <v>1000000</v>
      </c>
      <c r="M59" s="183">
        <v>13157941.960000001</v>
      </c>
    </row>
    <row r="60" spans="1:13">
      <c r="I60" s="109"/>
      <c r="J60" s="109">
        <v>800000</v>
      </c>
      <c r="L60" s="109">
        <v>1300000</v>
      </c>
      <c r="M60" s="184">
        <v>0</v>
      </c>
    </row>
    <row r="61" spans="1:13">
      <c r="I61" s="109"/>
      <c r="J61" s="109">
        <v>1200000</v>
      </c>
      <c r="L61" s="109">
        <v>2000000</v>
      </c>
      <c r="M61" s="183">
        <f>SUM(M58:M60)</f>
        <v>23802366.780000001</v>
      </c>
    </row>
    <row r="62" spans="1:13">
      <c r="I62" s="109"/>
      <c r="J62" s="109">
        <v>3500000</v>
      </c>
      <c r="L62" s="109">
        <v>150000</v>
      </c>
      <c r="M62" s="183">
        <v>24092226.780000001</v>
      </c>
    </row>
    <row r="63" spans="1:13">
      <c r="I63" s="109">
        <v>100000</v>
      </c>
      <c r="J63" s="116">
        <f>SUM(J59:J62)</f>
        <v>13350000</v>
      </c>
      <c r="L63" s="109">
        <v>4590281.96</v>
      </c>
      <c r="M63" s="183">
        <f>M62-M61</f>
        <v>289860</v>
      </c>
    </row>
    <row r="64" spans="1:13">
      <c r="I64" s="109">
        <v>4589687.1100000003</v>
      </c>
      <c r="J64" s="109">
        <v>16829861.079999998</v>
      </c>
      <c r="L64" s="109">
        <f>SUM(L58:L63)</f>
        <v>9670281.9600000009</v>
      </c>
      <c r="M64" s="46"/>
    </row>
    <row r="65" spans="1:13">
      <c r="I65" s="116">
        <f>SUM(I59:I64)</f>
        <v>4689687.1100000003</v>
      </c>
      <c r="J65" s="109">
        <f>J63-J64</f>
        <v>-3479861.0799999982</v>
      </c>
      <c r="M65" s="109">
        <v>24416573.030000001</v>
      </c>
    </row>
    <row r="66" spans="1:13">
      <c r="I66" s="109">
        <v>7212797.6100000003</v>
      </c>
      <c r="M66" s="109">
        <v>24708913.030000001</v>
      </c>
    </row>
    <row r="67" spans="1:13">
      <c r="I67" s="109">
        <f>I65-I66</f>
        <v>-2523110.5</v>
      </c>
      <c r="M67" s="109">
        <f>M65-M66</f>
        <v>-292340</v>
      </c>
    </row>
    <row r="68" spans="1:13">
      <c r="I68" s="109"/>
      <c r="M68" s="109">
        <v>289860</v>
      </c>
    </row>
    <row r="69" spans="1:13">
      <c r="I69" s="109"/>
      <c r="J69" s="109">
        <v>25346381.800000001</v>
      </c>
      <c r="M69" s="173">
        <f>SUM(M67:M68)</f>
        <v>-2480</v>
      </c>
    </row>
    <row r="70" spans="1:13">
      <c r="I70" s="109"/>
      <c r="J70" s="109">
        <v>24042658.690000001</v>
      </c>
      <c r="M70" s="46"/>
    </row>
    <row r="71" spans="1:13">
      <c r="I71" s="109"/>
      <c r="J71" s="109">
        <f>J69-J70</f>
        <v>1303723.1099999994</v>
      </c>
      <c r="L71" s="109">
        <v>400000</v>
      </c>
      <c r="M71" s="46"/>
    </row>
    <row r="72" spans="1:13">
      <c r="I72" s="109"/>
      <c r="L72" s="109">
        <v>1000000</v>
      </c>
      <c r="M72" s="109">
        <v>25279.7</v>
      </c>
    </row>
    <row r="73" spans="1:13">
      <c r="I73" s="109"/>
      <c r="M73" s="109">
        <v>27759.7</v>
      </c>
    </row>
    <row r="74" spans="1:13">
      <c r="H74" s="109"/>
      <c r="I74" s="109"/>
      <c r="M74" s="173">
        <f>M72-M73</f>
        <v>-2480</v>
      </c>
    </row>
    <row r="75" spans="1:13">
      <c r="H75" s="109">
        <v>4455551.57</v>
      </c>
      <c r="I75" s="109"/>
      <c r="J75" s="109">
        <v>17496381.800000001</v>
      </c>
      <c r="M75" s="46"/>
    </row>
    <row r="76" spans="1:13">
      <c r="H76" s="109">
        <v>5760963.6399999997</v>
      </c>
      <c r="I76" s="109"/>
      <c r="J76" s="109">
        <v>7850000</v>
      </c>
      <c r="M76" s="46"/>
    </row>
    <row r="77" spans="1:13">
      <c r="H77" s="109">
        <f>SUM(H75:H76)</f>
        <v>10216515.210000001</v>
      </c>
      <c r="I77" s="109"/>
      <c r="J77" s="109">
        <f>SUM(J75:J76)</f>
        <v>25346381.800000001</v>
      </c>
      <c r="M77" s="46"/>
    </row>
    <row r="78" spans="1:13" s="109" customFormat="1">
      <c r="A78" s="46"/>
      <c r="B78" s="46"/>
      <c r="C78" s="46"/>
      <c r="D78" s="46"/>
      <c r="E78" s="46"/>
      <c r="F78" s="46"/>
      <c r="G78" s="46"/>
    </row>
    <row r="79" spans="1:13" s="109" customFormat="1">
      <c r="A79" s="46"/>
      <c r="B79" s="46"/>
      <c r="C79" s="46"/>
      <c r="D79" s="46"/>
      <c r="E79" s="46"/>
      <c r="F79" s="46"/>
      <c r="G79" s="46"/>
    </row>
    <row r="80" spans="1:13" s="109" customFormat="1">
      <c r="A80" s="46"/>
      <c r="B80" s="46"/>
      <c r="C80" s="46"/>
      <c r="D80" s="46"/>
      <c r="E80" s="46"/>
      <c r="F80" s="46"/>
      <c r="G80" s="46"/>
    </row>
    <row r="81" spans="1:11" s="109" customFormat="1">
      <c r="A81" s="46"/>
      <c r="B81" s="46"/>
      <c r="C81" s="46"/>
      <c r="D81" s="46"/>
      <c r="E81" s="46"/>
      <c r="F81" s="46"/>
      <c r="G81" s="46"/>
    </row>
    <row r="82" spans="1:11" s="109" customFormat="1">
      <c r="A82" s="46"/>
      <c r="B82" s="46"/>
      <c r="C82" s="46"/>
      <c r="D82" s="46"/>
      <c r="E82" s="46"/>
      <c r="F82" s="46"/>
      <c r="G82" s="46"/>
    </row>
    <row r="83" spans="1:11" s="109" customFormat="1">
      <c r="A83" s="46"/>
      <c r="B83" s="46"/>
      <c r="C83" s="46"/>
      <c r="D83" s="46"/>
      <c r="E83" s="46"/>
      <c r="F83" s="46"/>
      <c r="G83" s="46"/>
    </row>
    <row r="84" spans="1:11" s="109" customFormat="1">
      <c r="A84" s="46"/>
      <c r="B84" s="46"/>
      <c r="C84" s="46"/>
      <c r="D84" s="46"/>
      <c r="E84" s="46"/>
      <c r="F84" s="46"/>
      <c r="G84" s="46"/>
      <c r="H84" s="46"/>
    </row>
    <row r="85" spans="1:11" s="109" customFormat="1">
      <c r="A85" s="46"/>
      <c r="B85" s="46"/>
      <c r="C85" s="46"/>
      <c r="D85" s="46"/>
      <c r="E85" s="46"/>
      <c r="F85" s="46"/>
      <c r="G85" s="46"/>
      <c r="H85" s="46"/>
    </row>
    <row r="86" spans="1:11" s="109" customFormat="1">
      <c r="A86" s="46"/>
      <c r="B86" s="46"/>
      <c r="C86" s="46"/>
      <c r="D86" s="46"/>
      <c r="E86" s="46"/>
      <c r="F86" s="46"/>
      <c r="G86" s="46"/>
      <c r="H86" s="46"/>
    </row>
    <row r="87" spans="1:11" s="109" customFormat="1">
      <c r="A87" s="46"/>
      <c r="B87" s="46"/>
      <c r="C87" s="46"/>
      <c r="D87" s="46"/>
      <c r="E87" s="46"/>
      <c r="F87" s="46"/>
      <c r="G87" s="46"/>
      <c r="H87" s="46"/>
    </row>
    <row r="88" spans="1:11" s="109" customFormat="1">
      <c r="A88" s="46"/>
      <c r="B88" s="46"/>
      <c r="C88" s="46"/>
      <c r="D88" s="46"/>
      <c r="E88" s="46"/>
      <c r="F88" s="46"/>
      <c r="G88" s="46"/>
      <c r="H88" s="46"/>
      <c r="K88" s="46"/>
    </row>
    <row r="89" spans="1:11" s="109" customFormat="1">
      <c r="A89" s="46"/>
      <c r="B89" s="46"/>
      <c r="C89" s="46"/>
      <c r="D89" s="46"/>
      <c r="E89" s="46"/>
      <c r="F89" s="46"/>
      <c r="G89" s="46"/>
      <c r="H89" s="46"/>
      <c r="K89" s="46"/>
    </row>
    <row r="90" spans="1:11" s="109" customFormat="1">
      <c r="A90" s="46"/>
      <c r="B90" s="46"/>
      <c r="C90" s="46"/>
      <c r="D90" s="46"/>
      <c r="E90" s="46"/>
      <c r="F90" s="46"/>
      <c r="G90" s="46"/>
      <c r="H90" s="46"/>
      <c r="K90" s="46"/>
    </row>
    <row r="91" spans="1:11" s="109" customFormat="1">
      <c r="A91" s="46"/>
      <c r="B91" s="46"/>
      <c r="C91" s="46"/>
      <c r="D91" s="46"/>
      <c r="E91" s="46"/>
      <c r="F91" s="46"/>
      <c r="G91" s="46"/>
      <c r="H91" s="46"/>
      <c r="K91" s="46"/>
    </row>
    <row r="92" spans="1:11" s="109" customFormat="1">
      <c r="A92" s="46"/>
      <c r="B92" s="46"/>
      <c r="C92" s="46"/>
      <c r="D92" s="46"/>
      <c r="E92" s="46"/>
      <c r="F92" s="46"/>
      <c r="G92" s="46"/>
      <c r="H92" s="46"/>
      <c r="K92" s="46"/>
    </row>
    <row r="93" spans="1:11" s="109" customFormat="1">
      <c r="A93" s="46"/>
      <c r="B93" s="46"/>
      <c r="C93" s="46"/>
      <c r="D93" s="46"/>
      <c r="E93" s="46"/>
      <c r="F93" s="46"/>
      <c r="G93" s="46"/>
      <c r="H93" s="46"/>
      <c r="K93" s="46"/>
    </row>
    <row r="94" spans="1:11" s="109" customFormat="1">
      <c r="A94" s="46"/>
      <c r="B94" s="46"/>
      <c r="C94" s="46"/>
      <c r="D94" s="46"/>
      <c r="E94" s="46"/>
      <c r="F94" s="46"/>
      <c r="G94" s="46"/>
      <c r="H94" s="46"/>
      <c r="K94" s="46"/>
    </row>
    <row r="95" spans="1:11" s="109" customFormat="1">
      <c r="A95" s="46"/>
      <c r="B95" s="46"/>
      <c r="C95" s="46"/>
      <c r="D95" s="46"/>
      <c r="E95" s="46"/>
      <c r="F95" s="46"/>
      <c r="G95" s="46"/>
      <c r="H95" s="46"/>
      <c r="K95" s="46"/>
    </row>
    <row r="96" spans="1:11" s="109" customFormat="1">
      <c r="A96" s="46"/>
      <c r="B96" s="46"/>
      <c r="C96" s="46"/>
      <c r="D96" s="46"/>
      <c r="E96" s="46"/>
      <c r="F96" s="46"/>
      <c r="G96" s="46"/>
      <c r="H96" s="46"/>
      <c r="K96" s="46"/>
    </row>
    <row r="97" spans="1:11" s="109" customFormat="1">
      <c r="A97" s="46"/>
      <c r="B97" s="46"/>
      <c r="C97" s="46"/>
      <c r="D97" s="46"/>
      <c r="E97" s="46"/>
      <c r="F97" s="46"/>
      <c r="G97" s="46"/>
      <c r="H97" s="46"/>
      <c r="K97" s="46"/>
    </row>
    <row r="98" spans="1:11" s="109" customFormat="1">
      <c r="A98" s="46"/>
      <c r="B98" s="46"/>
      <c r="C98" s="46"/>
      <c r="D98" s="46"/>
      <c r="E98" s="46"/>
      <c r="F98" s="46"/>
      <c r="G98" s="46"/>
      <c r="H98" s="46"/>
      <c r="K98" s="46"/>
    </row>
    <row r="99" spans="1:11" s="109" customFormat="1">
      <c r="A99" s="46"/>
      <c r="B99" s="46"/>
      <c r="C99" s="46"/>
      <c r="D99" s="46"/>
      <c r="E99" s="46"/>
      <c r="F99" s="46"/>
      <c r="G99" s="46"/>
      <c r="H99" s="46"/>
      <c r="K99" s="46"/>
    </row>
    <row r="100" spans="1:11" s="109" customFormat="1">
      <c r="A100" s="46"/>
      <c r="B100" s="46"/>
      <c r="C100" s="46"/>
      <c r="D100" s="46"/>
      <c r="E100" s="46"/>
      <c r="F100" s="46"/>
      <c r="G100" s="46"/>
      <c r="H100" s="46"/>
      <c r="K100" s="46"/>
    </row>
  </sheetData>
  <mergeCells count="3">
    <mergeCell ref="A2:J2"/>
    <mergeCell ref="A3:J3"/>
    <mergeCell ref="A4:J4"/>
  </mergeCells>
  <printOptions horizontalCentered="1"/>
  <pageMargins left="0.02" right="0.15" top="0.39" bottom="0.1" header="0.21" footer="0.1"/>
  <pageSetup scale="84" orientation="portrait" horizontalDpi="4294967293" verticalDpi="30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O99"/>
  <sheetViews>
    <sheetView workbookViewId="0">
      <selection activeCell="L10" sqref="L10"/>
    </sheetView>
  </sheetViews>
  <sheetFormatPr defaultRowHeight="12.75"/>
  <cols>
    <col min="1" max="1" width="6" style="46" customWidth="1"/>
    <col min="2" max="3" width="9.140625" style="46"/>
    <col min="4" max="4" width="16.5703125" style="46" customWidth="1"/>
    <col min="5" max="6" width="13.85546875" style="46" customWidth="1"/>
    <col min="7" max="7" width="10" style="46" customWidth="1"/>
    <col min="8" max="8" width="11.5703125" style="46" customWidth="1"/>
    <col min="9" max="9" width="11.42578125" style="46" customWidth="1"/>
    <col min="10" max="10" width="13.28515625" style="109" customWidth="1"/>
    <col min="11" max="11" width="15.7109375" style="46" customWidth="1"/>
    <col min="12" max="12" width="15.42578125" style="109" customWidth="1"/>
    <col min="13" max="13" width="15.85546875" style="109" customWidth="1"/>
    <col min="14" max="14" width="12.42578125" style="109" customWidth="1"/>
    <col min="15" max="15" width="4.28515625" style="46" customWidth="1"/>
    <col min="16" max="16384" width="9.140625" style="46"/>
  </cols>
  <sheetData>
    <row r="1" spans="1:13">
      <c r="A1" s="47"/>
      <c r="B1" s="48"/>
      <c r="C1" s="48"/>
      <c r="D1" s="48"/>
      <c r="E1" s="48"/>
      <c r="F1" s="48"/>
      <c r="G1" s="48"/>
      <c r="H1" s="48"/>
      <c r="I1" s="48"/>
      <c r="J1" s="169" t="s">
        <v>81</v>
      </c>
    </row>
    <row r="2" spans="1:13">
      <c r="A2" s="389" t="s">
        <v>80</v>
      </c>
      <c r="B2" s="390"/>
      <c r="C2" s="390"/>
      <c r="D2" s="390"/>
      <c r="E2" s="390"/>
      <c r="F2" s="390"/>
      <c r="G2" s="390"/>
      <c r="H2" s="390"/>
      <c r="I2" s="390"/>
      <c r="J2" s="391"/>
    </row>
    <row r="3" spans="1:13">
      <c r="A3" s="389" t="s">
        <v>239</v>
      </c>
      <c r="B3" s="390"/>
      <c r="C3" s="390"/>
      <c r="D3" s="390"/>
      <c r="E3" s="390"/>
      <c r="F3" s="390"/>
      <c r="G3" s="390"/>
      <c r="H3" s="390"/>
      <c r="I3" s="390"/>
      <c r="J3" s="391"/>
    </row>
    <row r="4" spans="1:13">
      <c r="A4" s="389"/>
      <c r="B4" s="390"/>
      <c r="C4" s="390"/>
      <c r="D4" s="390"/>
      <c r="E4" s="390"/>
      <c r="F4" s="390"/>
      <c r="G4" s="390"/>
      <c r="H4" s="390"/>
      <c r="I4" s="390"/>
      <c r="J4" s="391"/>
    </row>
    <row r="5" spans="1:13">
      <c r="A5" s="54" t="s">
        <v>77</v>
      </c>
      <c r="B5" s="236"/>
      <c r="C5" s="236"/>
      <c r="D5" s="236"/>
      <c r="E5" s="236"/>
      <c r="F5" s="236"/>
      <c r="G5" s="236"/>
      <c r="H5" s="236"/>
      <c r="I5" s="236"/>
      <c r="J5" s="170"/>
    </row>
    <row r="6" spans="1:13">
      <c r="A6" s="54" t="s">
        <v>76</v>
      </c>
      <c r="B6" s="55"/>
      <c r="C6" s="55"/>
      <c r="D6" s="55"/>
      <c r="E6" s="55"/>
      <c r="F6" s="55"/>
      <c r="G6" s="55"/>
      <c r="H6" s="55"/>
      <c r="I6" s="55"/>
      <c r="J6" s="171"/>
      <c r="K6" s="46" t="s">
        <v>210</v>
      </c>
    </row>
    <row r="7" spans="1:13">
      <c r="A7" s="47"/>
      <c r="B7" s="48"/>
      <c r="C7" s="48"/>
      <c r="D7" s="49"/>
      <c r="E7" s="88" t="s">
        <v>8</v>
      </c>
      <c r="F7" s="50"/>
      <c r="G7" s="52"/>
      <c r="H7" s="52"/>
      <c r="I7" s="53"/>
      <c r="J7" s="110"/>
    </row>
    <row r="8" spans="1:13">
      <c r="A8" s="54"/>
      <c r="B8" s="55"/>
      <c r="C8" s="55"/>
      <c r="D8" s="56"/>
      <c r="E8" s="235" t="s">
        <v>9</v>
      </c>
      <c r="F8" s="53"/>
      <c r="G8" s="59"/>
      <c r="H8" s="59"/>
      <c r="I8" s="58"/>
      <c r="J8" s="111"/>
    </row>
    <row r="9" spans="1:13">
      <c r="A9" s="61" t="s">
        <v>68</v>
      </c>
      <c r="B9" s="55"/>
      <c r="C9" s="55"/>
      <c r="D9" s="56"/>
      <c r="E9" s="235" t="s">
        <v>10</v>
      </c>
      <c r="F9" s="60" t="s">
        <v>12</v>
      </c>
      <c r="G9" s="60" t="s">
        <v>14</v>
      </c>
      <c r="H9" s="60" t="s">
        <v>20</v>
      </c>
      <c r="I9" s="60" t="s">
        <v>22</v>
      </c>
      <c r="J9" s="112" t="s">
        <v>24</v>
      </c>
    </row>
    <row r="10" spans="1:13">
      <c r="A10" s="54"/>
      <c r="B10" s="55"/>
      <c r="C10" s="55"/>
      <c r="D10" s="56"/>
      <c r="E10" s="235" t="s">
        <v>11</v>
      </c>
      <c r="F10" s="60" t="s">
        <v>13</v>
      </c>
      <c r="G10" s="59"/>
      <c r="H10" s="60" t="s">
        <v>21</v>
      </c>
      <c r="I10" s="60" t="s">
        <v>23</v>
      </c>
      <c r="J10" s="111"/>
    </row>
    <row r="11" spans="1:13">
      <c r="A11" s="62"/>
      <c r="B11" s="63"/>
      <c r="C11" s="63"/>
      <c r="D11" s="64"/>
      <c r="E11" s="65">
        <v>0.3</v>
      </c>
      <c r="F11" s="66">
        <v>0.7</v>
      </c>
      <c r="G11" s="59"/>
      <c r="H11" s="67"/>
      <c r="I11" s="68"/>
      <c r="J11" s="113"/>
    </row>
    <row r="12" spans="1:13" ht="18" customHeight="1">
      <c r="A12" s="70" t="s">
        <v>0</v>
      </c>
      <c r="B12" s="71"/>
      <c r="C12" s="71"/>
      <c r="D12" s="72"/>
      <c r="E12" s="51"/>
      <c r="F12" s="51"/>
      <c r="G12" s="51"/>
      <c r="H12" s="51"/>
      <c r="I12" s="51"/>
      <c r="J12" s="110"/>
      <c r="L12" s="118" t="s">
        <v>90</v>
      </c>
      <c r="M12" s="118" t="s">
        <v>89</v>
      </c>
    </row>
    <row r="13" spans="1:13" ht="18" customHeight="1">
      <c r="A13" s="73" t="s">
        <v>1</v>
      </c>
      <c r="B13" s="72"/>
      <c r="C13" s="72"/>
      <c r="D13" s="72"/>
      <c r="E13" s="94">
        <f>M19*0.3</f>
        <v>1115261.8036499999</v>
      </c>
      <c r="F13" s="94">
        <f>M19*0.7</f>
        <v>2602277.5418499997</v>
      </c>
      <c r="G13" s="94"/>
      <c r="H13" s="94"/>
      <c r="I13" s="94"/>
      <c r="J13" s="114">
        <f>SUM(E13:I13)</f>
        <v>3717539.3454999998</v>
      </c>
      <c r="K13" s="175" t="e">
        <f>SUM(J13+#REF!+#REF!+#REF!+#REF!+#REF!+#REF!+#REF!+#REF!+#REF!+#REF!+#REF!)</f>
        <v>#REF!</v>
      </c>
      <c r="L13" s="109">
        <v>21367644.399999999</v>
      </c>
      <c r="M13" s="109">
        <v>4171566.4</v>
      </c>
    </row>
    <row r="14" spans="1:13" ht="18" customHeight="1">
      <c r="A14" s="73" t="s">
        <v>2</v>
      </c>
      <c r="B14" s="72"/>
      <c r="C14" s="72"/>
      <c r="D14" s="72"/>
      <c r="E14" s="102"/>
      <c r="F14" s="102"/>
      <c r="G14" s="102"/>
      <c r="H14" s="102"/>
      <c r="I14" s="102"/>
      <c r="J14" s="110">
        <f>SUM(E14:I14)</f>
        <v>0</v>
      </c>
      <c r="K14" s="117" t="s">
        <v>88</v>
      </c>
      <c r="L14" s="109">
        <v>9400000</v>
      </c>
      <c r="M14" s="109">
        <v>5637398.9699999997</v>
      </c>
    </row>
    <row r="15" spans="1:13" ht="18" customHeight="1">
      <c r="A15" s="75" t="s">
        <v>3</v>
      </c>
      <c r="B15" s="48"/>
      <c r="C15" s="48"/>
      <c r="D15" s="48"/>
      <c r="E15" s="102"/>
      <c r="F15" s="102"/>
      <c r="G15" s="102"/>
      <c r="H15" s="102"/>
      <c r="I15" s="102"/>
      <c r="J15" s="110"/>
      <c r="L15" s="116">
        <f>SUM(L13:L14)</f>
        <v>30767644.399999999</v>
      </c>
      <c r="M15" s="116">
        <f>SUM(M13:M14)</f>
        <v>9808965.3699999992</v>
      </c>
    </row>
    <row r="16" spans="1:13" ht="18" customHeight="1">
      <c r="A16" s="76" t="s">
        <v>78</v>
      </c>
      <c r="B16" s="55"/>
      <c r="C16" s="55"/>
      <c r="D16" s="55"/>
      <c r="E16" s="103"/>
      <c r="F16" s="103"/>
      <c r="G16" s="103"/>
      <c r="H16" s="103"/>
      <c r="I16" s="103"/>
      <c r="J16" s="113">
        <f>SUM(E16:I16)</f>
        <v>0</v>
      </c>
      <c r="K16" s="46">
        <v>11930281.960000001</v>
      </c>
    </row>
    <row r="17" spans="1:13" ht="18" customHeight="1">
      <c r="A17" s="77" t="s">
        <v>79</v>
      </c>
      <c r="B17" s="72"/>
      <c r="C17" s="72"/>
      <c r="D17" s="72"/>
      <c r="E17" s="94"/>
      <c r="F17" s="94"/>
      <c r="G17" s="94"/>
      <c r="H17" s="94"/>
      <c r="I17" s="94"/>
      <c r="J17" s="113">
        <f>SUM(E17:I17)</f>
        <v>0</v>
      </c>
      <c r="K17" s="173">
        <f>K16-J16</f>
        <v>11930281.960000001</v>
      </c>
      <c r="M17" s="109">
        <v>25936573.030000001</v>
      </c>
    </row>
    <row r="18" spans="1:13" ht="18" customHeight="1">
      <c r="A18" s="70" t="s">
        <v>7</v>
      </c>
      <c r="B18" s="72"/>
      <c r="C18" s="72"/>
      <c r="D18" s="72"/>
      <c r="E18" s="119">
        <f>SUM(E13:E17)</f>
        <v>1115261.8036499999</v>
      </c>
      <c r="F18" s="119">
        <f t="shared" ref="F18:J18" si="0">SUM(F13:F17)</f>
        <v>2602277.5418499997</v>
      </c>
      <c r="G18" s="119">
        <f t="shared" si="0"/>
        <v>0</v>
      </c>
      <c r="H18" s="119">
        <f t="shared" si="0"/>
        <v>0</v>
      </c>
      <c r="I18" s="119">
        <f t="shared" si="0"/>
        <v>0</v>
      </c>
      <c r="J18" s="119">
        <f t="shared" si="0"/>
        <v>3717539.3454999998</v>
      </c>
      <c r="K18" s="166">
        <f t="shared" ref="K18:K44" si="1">SUM(E18:I18)</f>
        <v>3717539.3454999998</v>
      </c>
      <c r="L18" s="193" t="s">
        <v>171</v>
      </c>
      <c r="M18" s="192">
        <f>203466045.07-129115258.16</f>
        <v>74350786.909999996</v>
      </c>
    </row>
    <row r="19" spans="1:13" s="109" customFormat="1" ht="18" customHeight="1">
      <c r="A19" s="74" t="s">
        <v>99</v>
      </c>
      <c r="B19" s="72" t="s">
        <v>100</v>
      </c>
      <c r="C19" s="72"/>
      <c r="D19" s="72"/>
      <c r="E19" s="94">
        <f>SUM('DRRM Funds Feb 2015 Rev'!E44)</f>
        <v>11206862.071549999</v>
      </c>
      <c r="F19" s="94">
        <f>SUM('DRRM Funds Feb 2015 Rev'!F44)</f>
        <v>19547785.046949998</v>
      </c>
      <c r="G19" s="94">
        <f>SUM('DRRM Funds Feb 2015 Rev'!G44)</f>
        <v>0</v>
      </c>
      <c r="H19" s="94">
        <f>SUM('DRRM Funds Feb 2015 Rev'!H44)</f>
        <v>0</v>
      </c>
      <c r="I19" s="94">
        <f>SUM('DRRM Funds Feb 2015 Rev'!I44)</f>
        <v>0</v>
      </c>
      <c r="J19" s="94">
        <f>SUM('DRRM Funds Feb 2015 Rev'!J44)</f>
        <v>30754647.118500002</v>
      </c>
      <c r="K19" s="166">
        <f t="shared" si="1"/>
        <v>30754647.118499994</v>
      </c>
      <c r="L19" s="194">
        <v>0.05</v>
      </c>
      <c r="M19" s="262">
        <f>M18*0.05</f>
        <v>3717539.3454999998</v>
      </c>
    </row>
    <row r="20" spans="1:13" s="109" customFormat="1" ht="18" customHeight="1">
      <c r="A20" s="70" t="s">
        <v>101</v>
      </c>
      <c r="B20" s="122"/>
      <c r="C20" s="72"/>
      <c r="D20" s="72"/>
      <c r="E20" s="119">
        <f>SUM(E18:E19)</f>
        <v>12322123.875199998</v>
      </c>
      <c r="F20" s="119">
        <f t="shared" ref="F20:J20" si="2">SUM(F18:F19)</f>
        <v>22150062.588799998</v>
      </c>
      <c r="G20" s="119">
        <f t="shared" si="2"/>
        <v>0</v>
      </c>
      <c r="H20" s="119">
        <f t="shared" si="2"/>
        <v>0</v>
      </c>
      <c r="I20" s="119">
        <f t="shared" si="2"/>
        <v>0</v>
      </c>
      <c r="J20" s="119">
        <f t="shared" si="2"/>
        <v>34472186.464000002</v>
      </c>
      <c r="K20" s="166">
        <f t="shared" si="1"/>
        <v>34472186.463999994</v>
      </c>
    </row>
    <row r="21" spans="1:13" ht="18" customHeight="1">
      <c r="A21" s="70" t="s">
        <v>15</v>
      </c>
      <c r="B21" s="72"/>
      <c r="C21" s="72"/>
      <c r="D21" s="72"/>
      <c r="E21" s="94"/>
      <c r="F21" s="94"/>
      <c r="G21" s="94"/>
      <c r="H21" s="94"/>
      <c r="I21" s="94"/>
      <c r="J21" s="114"/>
      <c r="K21" s="166">
        <f t="shared" si="1"/>
        <v>0</v>
      </c>
      <c r="M21" s="109">
        <v>26972032.48</v>
      </c>
    </row>
    <row r="22" spans="1:13" ht="18" customHeight="1">
      <c r="A22" s="78" t="s">
        <v>206</v>
      </c>
      <c r="B22" s="72"/>
      <c r="C22" s="72"/>
      <c r="D22" s="72"/>
      <c r="E22" s="94"/>
      <c r="F22" s="94"/>
      <c r="G22" s="94"/>
      <c r="H22" s="94"/>
      <c r="I22" s="94"/>
      <c r="J22" s="114">
        <f>SUM(E22:I22)</f>
        <v>0</v>
      </c>
      <c r="K22" s="166"/>
    </row>
    <row r="23" spans="1:13" ht="18" customHeight="1">
      <c r="A23" s="78" t="s">
        <v>207</v>
      </c>
      <c r="B23" s="72"/>
      <c r="C23" s="72"/>
      <c r="D23" s="72"/>
      <c r="E23" s="94"/>
      <c r="F23" s="94">
        <v>29602</v>
      </c>
      <c r="G23" s="94"/>
      <c r="H23" s="94"/>
      <c r="I23" s="94"/>
      <c r="J23" s="114">
        <f t="shared" ref="J23:J25" si="3">SUM(E23:I23)</f>
        <v>29602</v>
      </c>
      <c r="K23" s="166"/>
    </row>
    <row r="24" spans="1:13" ht="18" customHeight="1">
      <c r="A24" s="78" t="s">
        <v>228</v>
      </c>
      <c r="B24" s="72"/>
      <c r="C24" s="72"/>
      <c r="D24" s="72"/>
      <c r="E24" s="94"/>
      <c r="F24" s="94"/>
      <c r="G24" s="94"/>
      <c r="H24" s="94"/>
      <c r="I24" s="94"/>
      <c r="J24" s="114">
        <f t="shared" si="3"/>
        <v>0</v>
      </c>
      <c r="K24" s="166">
        <f t="shared" si="1"/>
        <v>0</v>
      </c>
      <c r="L24" s="176">
        <f>518731460.56*0.05</f>
        <v>25936573.028000001</v>
      </c>
      <c r="M24" s="109">
        <v>125607.13</v>
      </c>
    </row>
    <row r="25" spans="1:13" ht="18" customHeight="1">
      <c r="A25" s="78" t="s">
        <v>242</v>
      </c>
      <c r="B25" s="72"/>
      <c r="C25" s="72"/>
      <c r="D25" s="72"/>
      <c r="E25" s="94"/>
      <c r="F25" s="94">
        <v>59685</v>
      </c>
      <c r="G25" s="94"/>
      <c r="H25" s="94"/>
      <c r="I25" s="94"/>
      <c r="J25" s="114">
        <f t="shared" si="3"/>
        <v>59685</v>
      </c>
      <c r="K25" s="166"/>
      <c r="L25" s="228"/>
    </row>
    <row r="26" spans="1:13" ht="18" customHeight="1">
      <c r="A26" s="78" t="s">
        <v>70</v>
      </c>
      <c r="B26" s="72"/>
      <c r="C26" s="72"/>
      <c r="D26" s="72"/>
      <c r="E26" s="94"/>
      <c r="F26" s="94">
        <v>528733</v>
      </c>
      <c r="G26" s="94"/>
      <c r="H26" s="94"/>
      <c r="I26" s="94"/>
      <c r="J26" s="294">
        <f>SUM(E26:I26)</f>
        <v>528733</v>
      </c>
      <c r="K26" s="166">
        <f t="shared" si="1"/>
        <v>528733</v>
      </c>
      <c r="L26" s="109" t="e">
        <f>L24-K13</f>
        <v>#REF!</v>
      </c>
      <c r="M26" s="109">
        <v>510000</v>
      </c>
    </row>
    <row r="27" spans="1:13" ht="18" customHeight="1">
      <c r="A27" s="78" t="s">
        <v>71</v>
      </c>
      <c r="B27" s="72"/>
      <c r="C27" s="72"/>
      <c r="D27" s="72"/>
      <c r="E27" s="94"/>
      <c r="F27" s="94">
        <v>598233.1</v>
      </c>
      <c r="G27" s="94"/>
      <c r="H27" s="94"/>
      <c r="I27" s="94"/>
      <c r="J27" s="114">
        <f t="shared" ref="J27:J41" si="4">SUM(E27:I27)</f>
        <v>598233.1</v>
      </c>
      <c r="K27" s="166">
        <f t="shared" si="1"/>
        <v>598233.1</v>
      </c>
      <c r="M27" s="109">
        <v>1430000</v>
      </c>
    </row>
    <row r="28" spans="1:13" ht="18" customHeight="1">
      <c r="A28" s="79" t="s">
        <v>91</v>
      </c>
      <c r="B28" s="72"/>
      <c r="C28" s="72"/>
      <c r="D28" s="72"/>
      <c r="E28" s="94"/>
      <c r="F28" s="94"/>
      <c r="G28" s="94"/>
      <c r="H28" s="94"/>
      <c r="I28" s="94"/>
      <c r="J28" s="114">
        <f t="shared" si="4"/>
        <v>0</v>
      </c>
      <c r="K28" s="166">
        <f t="shared" si="1"/>
        <v>0</v>
      </c>
      <c r="M28" s="109">
        <v>4285413.1100000003</v>
      </c>
    </row>
    <row r="29" spans="1:13" ht="18" customHeight="1">
      <c r="A29" s="78" t="s">
        <v>243</v>
      </c>
      <c r="B29" s="72"/>
      <c r="C29" s="72"/>
      <c r="D29" s="72"/>
      <c r="E29" s="94"/>
      <c r="F29" s="94">
        <v>159492</v>
      </c>
      <c r="G29" s="94"/>
      <c r="H29" s="94"/>
      <c r="I29" s="94"/>
      <c r="J29" s="114">
        <f t="shared" si="4"/>
        <v>159492</v>
      </c>
      <c r="K29" s="166">
        <f t="shared" si="1"/>
        <v>159492</v>
      </c>
      <c r="M29" s="109">
        <v>3777930</v>
      </c>
    </row>
    <row r="30" spans="1:13" ht="18" customHeight="1">
      <c r="A30" s="78" t="s">
        <v>227</v>
      </c>
      <c r="B30" s="72"/>
      <c r="C30" s="72"/>
      <c r="D30" s="72"/>
      <c r="E30" s="94"/>
      <c r="F30" s="94">
        <v>108164</v>
      </c>
      <c r="G30" s="94"/>
      <c r="H30" s="94"/>
      <c r="I30" s="94"/>
      <c r="J30" s="114">
        <f t="shared" si="4"/>
        <v>108164</v>
      </c>
      <c r="K30" s="166">
        <f t="shared" si="1"/>
        <v>108164</v>
      </c>
      <c r="L30" s="118" t="s">
        <v>162</v>
      </c>
      <c r="M30" s="109">
        <v>100</v>
      </c>
    </row>
    <row r="31" spans="1:13" ht="18" customHeight="1">
      <c r="A31" s="78" t="s">
        <v>213</v>
      </c>
      <c r="B31" s="72"/>
      <c r="C31" s="72"/>
      <c r="D31" s="72"/>
      <c r="E31" s="94"/>
      <c r="F31" s="94"/>
      <c r="G31" s="94"/>
      <c r="H31" s="94"/>
      <c r="I31" s="94"/>
      <c r="J31" s="114">
        <f t="shared" si="4"/>
        <v>0</v>
      </c>
      <c r="K31" s="166"/>
      <c r="L31" s="118"/>
      <c r="M31" s="109">
        <f>SUM(M24:M30)</f>
        <v>10129050.24</v>
      </c>
    </row>
    <row r="32" spans="1:13" ht="18" customHeight="1">
      <c r="A32" s="78" t="s">
        <v>214</v>
      </c>
      <c r="B32" s="72"/>
      <c r="C32" s="72"/>
      <c r="D32" s="72"/>
      <c r="E32" s="94"/>
      <c r="F32" s="94">
        <v>1493800</v>
      </c>
      <c r="G32" s="94"/>
      <c r="H32" s="94"/>
      <c r="I32" s="94"/>
      <c r="J32" s="114">
        <f t="shared" si="4"/>
        <v>1493800</v>
      </c>
      <c r="K32" s="227" t="s">
        <v>226</v>
      </c>
      <c r="L32" s="118"/>
    </row>
    <row r="33" spans="1:15" ht="18" customHeight="1">
      <c r="A33" s="78" t="s">
        <v>102</v>
      </c>
      <c r="B33" s="72"/>
      <c r="C33" s="72"/>
      <c r="D33" s="72"/>
      <c r="E33" s="94"/>
      <c r="F33" s="94">
        <v>99900</v>
      </c>
      <c r="G33" s="94"/>
      <c r="H33" s="94"/>
      <c r="I33" s="94"/>
      <c r="J33" s="114">
        <f t="shared" si="4"/>
        <v>99900</v>
      </c>
      <c r="K33" s="226">
        <f t="shared" si="1"/>
        <v>99900</v>
      </c>
      <c r="L33" s="109">
        <f>SUM(F30:F33)</f>
        <v>1701864</v>
      </c>
      <c r="N33" s="109">
        <v>14370</v>
      </c>
      <c r="O33" s="46" t="s">
        <v>226</v>
      </c>
    </row>
    <row r="34" spans="1:15" ht="18" customHeight="1">
      <c r="A34" s="78" t="s">
        <v>19</v>
      </c>
      <c r="B34" s="72"/>
      <c r="C34" s="72"/>
      <c r="D34" s="72"/>
      <c r="E34" s="94"/>
      <c r="F34" s="94"/>
      <c r="G34" s="94"/>
      <c r="H34" s="94"/>
      <c r="I34" s="94"/>
      <c r="J34" s="114">
        <f t="shared" si="4"/>
        <v>0</v>
      </c>
      <c r="K34" s="166">
        <f t="shared" si="1"/>
        <v>0</v>
      </c>
      <c r="L34" s="109">
        <v>147060</v>
      </c>
      <c r="N34" s="109">
        <v>528733</v>
      </c>
      <c r="O34" s="46" t="s">
        <v>226</v>
      </c>
    </row>
    <row r="35" spans="1:15" ht="18" customHeight="1">
      <c r="A35" s="78" t="s">
        <v>168</v>
      </c>
      <c r="B35" s="72"/>
      <c r="C35" s="72"/>
      <c r="D35" s="72"/>
      <c r="E35" s="94"/>
      <c r="F35" s="94"/>
      <c r="G35" s="94"/>
      <c r="H35" s="94"/>
      <c r="I35" s="94"/>
      <c r="J35" s="114">
        <f t="shared" si="4"/>
        <v>0</v>
      </c>
      <c r="K35" s="166">
        <f t="shared" si="1"/>
        <v>0</v>
      </c>
      <c r="N35" s="109">
        <v>940806.1</v>
      </c>
    </row>
    <row r="36" spans="1:15" ht="18" customHeight="1">
      <c r="A36" s="78" t="s">
        <v>208</v>
      </c>
      <c r="B36" s="72"/>
      <c r="C36" s="72"/>
      <c r="D36" s="72"/>
      <c r="E36" s="94"/>
      <c r="F36" s="94"/>
      <c r="G36" s="94"/>
      <c r="H36" s="94"/>
      <c r="I36" s="94"/>
      <c r="J36" s="114"/>
      <c r="K36" s="166">
        <f t="shared" si="1"/>
        <v>0</v>
      </c>
      <c r="L36" s="109">
        <v>1555500</v>
      </c>
      <c r="N36" s="248">
        <v>1593700</v>
      </c>
    </row>
    <row r="37" spans="1:15" ht="18" customHeight="1">
      <c r="A37" s="78"/>
      <c r="B37" s="72" t="s">
        <v>209</v>
      </c>
      <c r="C37" s="72"/>
      <c r="D37" s="72"/>
      <c r="E37" s="94"/>
      <c r="F37" s="94"/>
      <c r="G37" s="94"/>
      <c r="H37" s="94"/>
      <c r="I37" s="94"/>
      <c r="J37" s="114">
        <f t="shared" si="4"/>
        <v>0</v>
      </c>
      <c r="K37" s="166">
        <f t="shared" si="1"/>
        <v>0</v>
      </c>
      <c r="L37" s="109">
        <v>2209000</v>
      </c>
      <c r="N37" s="249">
        <f>SUM(N33:N36)</f>
        <v>3077609.1</v>
      </c>
    </row>
    <row r="38" spans="1:15" ht="18" customHeight="1">
      <c r="A38" s="78" t="s">
        <v>75</v>
      </c>
      <c r="B38" s="72"/>
      <c r="C38" s="72"/>
      <c r="D38" s="72"/>
      <c r="E38" s="94"/>
      <c r="F38" s="94"/>
      <c r="G38" s="94"/>
      <c r="H38" s="94"/>
      <c r="I38" s="94"/>
      <c r="J38" s="114">
        <f t="shared" si="4"/>
        <v>0</v>
      </c>
      <c r="K38" s="166">
        <f t="shared" si="1"/>
        <v>0</v>
      </c>
      <c r="L38" s="109">
        <v>173800</v>
      </c>
    </row>
    <row r="39" spans="1:15" ht="18" customHeight="1">
      <c r="A39" s="79" t="s">
        <v>94</v>
      </c>
      <c r="B39" s="72"/>
      <c r="C39" s="72"/>
      <c r="D39" s="72"/>
      <c r="E39" s="94"/>
      <c r="F39" s="94"/>
      <c r="G39" s="94"/>
      <c r="H39" s="94"/>
      <c r="I39" s="94"/>
      <c r="J39" s="114">
        <f t="shared" si="4"/>
        <v>0</v>
      </c>
      <c r="K39" s="166">
        <f t="shared" si="1"/>
        <v>0</v>
      </c>
      <c r="L39" s="109">
        <v>177000</v>
      </c>
    </row>
    <row r="40" spans="1:15" ht="18" customHeight="1">
      <c r="A40" s="79" t="s">
        <v>95</v>
      </c>
      <c r="B40" s="72"/>
      <c r="C40" s="72"/>
      <c r="D40" s="72"/>
      <c r="E40" s="94"/>
      <c r="F40" s="94"/>
      <c r="G40" s="94"/>
      <c r="H40" s="94"/>
      <c r="I40" s="94"/>
      <c r="J40" s="114">
        <f t="shared" si="4"/>
        <v>0</v>
      </c>
      <c r="K40" s="166">
        <f t="shared" si="1"/>
        <v>0</v>
      </c>
      <c r="L40" s="109">
        <v>204055</v>
      </c>
    </row>
    <row r="41" spans="1:15" ht="18" customHeight="1">
      <c r="A41" s="78" t="s">
        <v>96</v>
      </c>
      <c r="B41" s="72"/>
      <c r="C41" s="72"/>
      <c r="D41" s="72"/>
      <c r="E41" s="94"/>
      <c r="F41" s="94"/>
      <c r="G41" s="94"/>
      <c r="H41" s="94"/>
      <c r="I41" s="94"/>
      <c r="J41" s="114">
        <f t="shared" si="4"/>
        <v>0</v>
      </c>
      <c r="K41" s="166">
        <f t="shared" si="1"/>
        <v>0</v>
      </c>
      <c r="L41" s="109">
        <v>71070</v>
      </c>
    </row>
    <row r="42" spans="1:15" ht="18" customHeight="1">
      <c r="A42" s="84" t="s">
        <v>92</v>
      </c>
      <c r="B42" s="63"/>
      <c r="C42" s="63"/>
      <c r="D42" s="63"/>
      <c r="E42" s="94">
        <f t="shared" ref="E42:J42" si="5">SUM(E22:E41)</f>
        <v>0</v>
      </c>
      <c r="F42" s="94">
        <f t="shared" si="5"/>
        <v>3077609.1</v>
      </c>
      <c r="G42" s="94">
        <f t="shared" si="5"/>
        <v>0</v>
      </c>
      <c r="H42" s="94">
        <f t="shared" si="5"/>
        <v>0</v>
      </c>
      <c r="I42" s="94">
        <f t="shared" si="5"/>
        <v>0</v>
      </c>
      <c r="J42" s="94">
        <f t="shared" si="5"/>
        <v>3077609.1</v>
      </c>
      <c r="K42" s="166">
        <f t="shared" si="1"/>
        <v>3077609.1</v>
      </c>
      <c r="L42" s="109">
        <v>27800</v>
      </c>
      <c r="M42" s="46"/>
    </row>
    <row r="43" spans="1:15" ht="18" customHeight="1">
      <c r="A43" s="84" t="s">
        <v>103</v>
      </c>
      <c r="B43" s="63"/>
      <c r="C43" s="63"/>
      <c r="D43" s="63"/>
      <c r="E43" s="103">
        <f>SUM('DRRM Funds Feb 2015 Rev'!E43)</f>
        <v>0</v>
      </c>
      <c r="F43" s="103">
        <f>SUM('DRRM Funds Feb 2015 Rev'!F43)</f>
        <v>6998096.8499999996</v>
      </c>
      <c r="G43" s="103">
        <f>SUM('DRRM Funds Feb 2015 Rev'!G43)</f>
        <v>0</v>
      </c>
      <c r="H43" s="103">
        <f>SUM('DRRM Funds Feb 2015 Rev'!H43)</f>
        <v>0</v>
      </c>
      <c r="I43" s="103">
        <f>SUM('DRRM Funds Feb 2015 Rev'!I43)</f>
        <v>0</v>
      </c>
      <c r="J43" s="103">
        <f>SUM('DRRM Funds Feb 2015 Rev'!J43)</f>
        <v>6998096.8499999996</v>
      </c>
      <c r="K43" s="166">
        <f t="shared" si="1"/>
        <v>6998096.8499999996</v>
      </c>
      <c r="L43" s="109">
        <v>126865</v>
      </c>
      <c r="M43" s="109">
        <f>SUM(E43:H43)</f>
        <v>6998096.8499999996</v>
      </c>
    </row>
    <row r="44" spans="1:15" ht="18" customHeight="1">
      <c r="A44" s="84" t="s">
        <v>104</v>
      </c>
      <c r="B44" s="63"/>
      <c r="C44" s="63"/>
      <c r="D44" s="63"/>
      <c r="E44" s="103">
        <f>SUM(E42:E43)</f>
        <v>0</v>
      </c>
      <c r="F44" s="103">
        <f>SUM(F42:F43)</f>
        <v>10075705.949999999</v>
      </c>
      <c r="G44" s="103">
        <f t="shared" ref="G44:J44" si="6">SUM(G42:G43)</f>
        <v>0</v>
      </c>
      <c r="H44" s="103">
        <f t="shared" si="6"/>
        <v>0</v>
      </c>
      <c r="I44" s="103">
        <f t="shared" si="6"/>
        <v>0</v>
      </c>
      <c r="J44" s="103">
        <f t="shared" si="6"/>
        <v>10075705.949999999</v>
      </c>
      <c r="K44" s="166">
        <f t="shared" si="1"/>
        <v>10075705.949999999</v>
      </c>
      <c r="L44" s="174">
        <f>SUM(L33:L43)</f>
        <v>6394014</v>
      </c>
      <c r="M44" s="109">
        <v>10492358.970000001</v>
      </c>
    </row>
    <row r="45" spans="1:15" ht="18" customHeight="1">
      <c r="A45" s="70" t="s">
        <v>93</v>
      </c>
      <c r="B45" s="72"/>
      <c r="C45" s="72"/>
      <c r="D45" s="80"/>
      <c r="E45" s="231">
        <f t="shared" ref="E45:J45" si="7">E20-E42</f>
        <v>12322123.875199998</v>
      </c>
      <c r="F45" s="231">
        <f t="shared" si="7"/>
        <v>19072453.488799997</v>
      </c>
      <c r="G45" s="231">
        <f t="shared" si="7"/>
        <v>0</v>
      </c>
      <c r="H45" s="231">
        <f t="shared" si="7"/>
        <v>0</v>
      </c>
      <c r="I45" s="231">
        <f t="shared" si="7"/>
        <v>0</v>
      </c>
      <c r="J45" s="231">
        <f t="shared" si="7"/>
        <v>31394577.364</v>
      </c>
      <c r="K45" s="166">
        <f>SUM(E45:I45)</f>
        <v>31394577.363999993</v>
      </c>
      <c r="L45" s="46"/>
      <c r="M45" s="109">
        <f>M44-L44</f>
        <v>4098344.9700000007</v>
      </c>
    </row>
    <row r="46" spans="1:15" ht="18" customHeight="1">
      <c r="A46" s="55"/>
      <c r="B46" s="55"/>
      <c r="C46" s="55"/>
      <c r="D46" s="55"/>
      <c r="E46" s="55"/>
      <c r="F46" s="55"/>
      <c r="G46" s="55"/>
      <c r="H46" s="55"/>
      <c r="I46" s="55"/>
      <c r="J46" s="115" t="s">
        <v>74</v>
      </c>
      <c r="K46" s="92">
        <f>SUM(E45:F45)</f>
        <v>31394577.363999993</v>
      </c>
      <c r="M46" s="109">
        <v>0</v>
      </c>
    </row>
    <row r="47" spans="1:15" ht="18" customHeight="1">
      <c r="A47" s="55"/>
      <c r="B47" s="55"/>
      <c r="C47" s="55"/>
      <c r="D47" s="55"/>
      <c r="E47" s="55"/>
      <c r="F47" s="55"/>
      <c r="G47" s="55"/>
      <c r="H47" s="55"/>
      <c r="I47" s="55"/>
      <c r="J47" s="115"/>
      <c r="K47" s="92">
        <f>SUM(E44:F44)</f>
        <v>10075705.949999999</v>
      </c>
      <c r="M47" s="109">
        <f>SUM(M45:M46)</f>
        <v>4098344.9700000007</v>
      </c>
      <c r="N47" s="109">
        <f>SUM(L44+M47)</f>
        <v>10492358.970000001</v>
      </c>
    </row>
    <row r="48" spans="1:15">
      <c r="A48" s="55" t="s">
        <v>83</v>
      </c>
      <c r="B48" s="55"/>
      <c r="C48" s="55"/>
      <c r="D48" s="55"/>
      <c r="E48" s="55"/>
      <c r="F48" s="55"/>
      <c r="G48" s="55"/>
      <c r="H48" s="55" t="s">
        <v>29</v>
      </c>
      <c r="I48" s="55"/>
      <c r="J48" s="115"/>
      <c r="K48" s="55"/>
      <c r="L48" s="109">
        <v>752760</v>
      </c>
    </row>
    <row r="49" spans="1:13">
      <c r="A49" s="55"/>
      <c r="B49" s="55"/>
      <c r="C49" s="55"/>
      <c r="D49" s="55"/>
      <c r="E49" s="55"/>
      <c r="F49" s="55"/>
      <c r="G49" s="55"/>
      <c r="H49" s="55"/>
      <c r="I49" s="55"/>
      <c r="J49" s="115"/>
      <c r="K49" s="55"/>
      <c r="L49" s="109">
        <v>902075</v>
      </c>
    </row>
    <row r="50" spans="1:13">
      <c r="A50" s="55"/>
      <c r="B50" s="55"/>
      <c r="C50" s="55"/>
      <c r="D50" s="55"/>
      <c r="E50" s="55"/>
      <c r="F50" s="55"/>
      <c r="G50" s="55"/>
      <c r="H50" s="172"/>
      <c r="I50" s="55"/>
      <c r="J50" s="115"/>
      <c r="K50" s="55"/>
      <c r="L50" s="109">
        <v>1032329.7</v>
      </c>
      <c r="M50" s="109">
        <v>1897753.11</v>
      </c>
    </row>
    <row r="51" spans="1:13">
      <c r="A51" s="55" t="s">
        <v>202</v>
      </c>
      <c r="B51" s="55"/>
      <c r="C51" s="55"/>
      <c r="D51" s="55"/>
      <c r="E51" s="55"/>
      <c r="F51" s="55"/>
      <c r="G51" s="55"/>
      <c r="H51" s="140" t="s">
        <v>194</v>
      </c>
      <c r="I51" s="55"/>
      <c r="J51" s="115"/>
      <c r="K51" s="55"/>
      <c r="L51" s="109">
        <v>504234.65</v>
      </c>
      <c r="M51" s="109">
        <v>8736531.7100000009</v>
      </c>
    </row>
    <row r="52" spans="1:13">
      <c r="A52" s="140" t="s">
        <v>291</v>
      </c>
      <c r="B52" s="55"/>
      <c r="C52" s="55"/>
      <c r="D52" s="55"/>
      <c r="E52" s="55"/>
      <c r="F52" s="55"/>
      <c r="G52" s="55"/>
      <c r="H52" s="140" t="s">
        <v>195</v>
      </c>
      <c r="I52" s="55"/>
      <c r="J52" s="115"/>
      <c r="K52" s="55"/>
      <c r="L52" s="109">
        <v>899145</v>
      </c>
      <c r="M52" s="109">
        <v>10140</v>
      </c>
    </row>
    <row r="53" spans="1:13">
      <c r="A53" s="55"/>
      <c r="B53" s="55"/>
      <c r="C53" s="55"/>
      <c r="D53" s="55"/>
      <c r="E53" s="121"/>
      <c r="F53" s="55"/>
      <c r="G53" s="55"/>
      <c r="H53" s="55"/>
      <c r="I53" s="55"/>
      <c r="J53" s="115"/>
      <c r="K53" s="55"/>
      <c r="L53" s="109">
        <v>1087927.3999999999</v>
      </c>
      <c r="M53" s="109">
        <f>SUM(M50:M52)</f>
        <v>10644424.82</v>
      </c>
    </row>
    <row r="54" spans="1:13">
      <c r="A54" s="55"/>
      <c r="B54" s="55"/>
      <c r="C54" s="55"/>
      <c r="D54" s="55"/>
      <c r="E54" s="115"/>
      <c r="F54" s="55"/>
      <c r="G54" s="55"/>
      <c r="H54" s="55"/>
      <c r="I54" s="115"/>
      <c r="J54" s="115"/>
      <c r="K54" s="55"/>
      <c r="L54" s="109">
        <v>2896515.5</v>
      </c>
    </row>
    <row r="55" spans="1:13">
      <c r="A55" s="55"/>
      <c r="B55" s="55"/>
      <c r="C55" s="55"/>
      <c r="D55" s="55"/>
      <c r="E55" s="55"/>
      <c r="F55" s="55"/>
      <c r="G55" s="55"/>
      <c r="H55" s="55"/>
      <c r="I55" s="115"/>
      <c r="J55" s="115"/>
      <c r="K55" s="55"/>
      <c r="L55" s="109">
        <v>120000</v>
      </c>
    </row>
    <row r="56" spans="1:13">
      <c r="I56" s="109"/>
      <c r="M56" s="46"/>
    </row>
    <row r="57" spans="1:13">
      <c r="F57" s="121">
        <f>F18-F58</f>
        <v>427123.24184999987</v>
      </c>
      <c r="I57" s="109"/>
      <c r="K57" s="55"/>
      <c r="L57" s="115">
        <v>630000</v>
      </c>
      <c r="M57" s="183">
        <v>10644424.82</v>
      </c>
    </row>
    <row r="58" spans="1:13">
      <c r="F58" s="115">
        <f>49980+103610+255752.8+265335+81917.75+32889+315132+287135.25+143400+640002.5</f>
        <v>2175154.2999999998</v>
      </c>
      <c r="I58" s="109"/>
      <c r="J58" s="109">
        <v>7850000</v>
      </c>
      <c r="L58" s="109">
        <v>1000000</v>
      </c>
      <c r="M58" s="183">
        <v>13157941.960000001</v>
      </c>
    </row>
    <row r="59" spans="1:13">
      <c r="I59" s="109"/>
      <c r="J59" s="109">
        <v>800000</v>
      </c>
      <c r="L59" s="109">
        <v>1300000</v>
      </c>
      <c r="M59" s="184">
        <v>0</v>
      </c>
    </row>
    <row r="60" spans="1:13">
      <c r="I60" s="109"/>
      <c r="J60" s="109">
        <v>1200000</v>
      </c>
      <c r="L60" s="109">
        <v>2000000</v>
      </c>
      <c r="M60" s="183">
        <f>SUM(M57:M59)</f>
        <v>23802366.780000001</v>
      </c>
    </row>
    <row r="61" spans="1:13">
      <c r="I61" s="109"/>
      <c r="J61" s="109">
        <v>3500000</v>
      </c>
      <c r="L61" s="109">
        <v>150000</v>
      </c>
      <c r="M61" s="183">
        <v>24092226.780000001</v>
      </c>
    </row>
    <row r="62" spans="1:13">
      <c r="I62" s="109">
        <v>100000</v>
      </c>
      <c r="J62" s="116">
        <f>SUM(J58:J61)</f>
        <v>13350000</v>
      </c>
      <c r="L62" s="109">
        <v>4590281.96</v>
      </c>
      <c r="M62" s="183">
        <f>M61-M60</f>
        <v>289860</v>
      </c>
    </row>
    <row r="63" spans="1:13">
      <c r="I63" s="109">
        <v>4589687.1100000003</v>
      </c>
      <c r="J63" s="109">
        <v>16829861.079999998</v>
      </c>
      <c r="L63" s="109">
        <f>SUM(L57:L62)</f>
        <v>9670281.9600000009</v>
      </c>
      <c r="M63" s="46"/>
    </row>
    <row r="64" spans="1:13">
      <c r="I64" s="116">
        <f>SUM(I58:I63)</f>
        <v>4689687.1100000003</v>
      </c>
      <c r="J64" s="109">
        <f>J62-J63</f>
        <v>-3479861.0799999982</v>
      </c>
      <c r="M64" s="109">
        <v>24416573.030000001</v>
      </c>
    </row>
    <row r="65" spans="1:13">
      <c r="I65" s="109">
        <v>7212797.6100000003</v>
      </c>
      <c r="M65" s="109">
        <v>24708913.030000001</v>
      </c>
    </row>
    <row r="66" spans="1:13">
      <c r="I66" s="109">
        <f>I64-I65</f>
        <v>-2523110.5</v>
      </c>
      <c r="M66" s="109">
        <f>M64-M65</f>
        <v>-292340</v>
      </c>
    </row>
    <row r="67" spans="1:13">
      <c r="I67" s="109"/>
      <c r="M67" s="109">
        <v>289860</v>
      </c>
    </row>
    <row r="68" spans="1:13">
      <c r="I68" s="109"/>
      <c r="J68" s="109">
        <v>25346381.800000001</v>
      </c>
      <c r="M68" s="173">
        <f>SUM(M66:M67)</f>
        <v>-2480</v>
      </c>
    </row>
    <row r="69" spans="1:13">
      <c r="I69" s="109"/>
      <c r="J69" s="109">
        <v>24042658.690000001</v>
      </c>
      <c r="M69" s="46"/>
    </row>
    <row r="70" spans="1:13">
      <c r="I70" s="109"/>
      <c r="J70" s="109">
        <f>J68-J69</f>
        <v>1303723.1099999994</v>
      </c>
      <c r="L70" s="109">
        <v>400000</v>
      </c>
      <c r="M70" s="46"/>
    </row>
    <row r="71" spans="1:13">
      <c r="I71" s="109"/>
      <c r="L71" s="109">
        <v>1000000</v>
      </c>
      <c r="M71" s="109">
        <v>25279.7</v>
      </c>
    </row>
    <row r="72" spans="1:13">
      <c r="I72" s="109"/>
      <c r="M72" s="109">
        <v>27759.7</v>
      </c>
    </row>
    <row r="73" spans="1:13">
      <c r="H73" s="109"/>
      <c r="I73" s="109"/>
      <c r="M73" s="173">
        <f>M71-M72</f>
        <v>-2480</v>
      </c>
    </row>
    <row r="74" spans="1:13">
      <c r="H74" s="109">
        <v>4455551.57</v>
      </c>
      <c r="I74" s="109"/>
      <c r="J74" s="109">
        <v>17496381.800000001</v>
      </c>
      <c r="M74" s="46"/>
    </row>
    <row r="75" spans="1:13">
      <c r="H75" s="109">
        <v>5760963.6399999997</v>
      </c>
      <c r="I75" s="109"/>
      <c r="J75" s="109">
        <v>7850000</v>
      </c>
      <c r="M75" s="46"/>
    </row>
    <row r="76" spans="1:13">
      <c r="H76" s="109">
        <f>SUM(H74:H75)</f>
        <v>10216515.210000001</v>
      </c>
      <c r="I76" s="109"/>
      <c r="J76" s="109">
        <f>SUM(J74:J75)</f>
        <v>25346381.800000001</v>
      </c>
      <c r="M76" s="46"/>
    </row>
    <row r="77" spans="1:13" s="109" customFormat="1">
      <c r="A77" s="46"/>
      <c r="B77" s="46"/>
      <c r="C77" s="46"/>
      <c r="D77" s="46"/>
      <c r="E77" s="46"/>
      <c r="F77" s="46"/>
      <c r="G77" s="46"/>
    </row>
    <row r="78" spans="1:13" s="109" customFormat="1">
      <c r="A78" s="46"/>
      <c r="B78" s="46"/>
      <c r="C78" s="46"/>
      <c r="D78" s="46"/>
      <c r="E78" s="46"/>
      <c r="F78" s="46"/>
      <c r="G78" s="46"/>
    </row>
    <row r="79" spans="1:13" s="109" customFormat="1">
      <c r="A79" s="46"/>
      <c r="B79" s="46"/>
      <c r="C79" s="46"/>
      <c r="D79" s="46"/>
      <c r="E79" s="46"/>
      <c r="F79" s="46"/>
      <c r="G79" s="46"/>
    </row>
    <row r="80" spans="1:13" s="109" customFormat="1">
      <c r="A80" s="46"/>
      <c r="B80" s="46"/>
      <c r="C80" s="46"/>
      <c r="D80" s="46"/>
      <c r="E80" s="46"/>
      <c r="F80" s="46"/>
      <c r="G80" s="46"/>
    </row>
    <row r="81" spans="1:11" s="109" customFormat="1">
      <c r="A81" s="46"/>
      <c r="B81" s="46"/>
      <c r="C81" s="46"/>
      <c r="D81" s="46"/>
      <c r="E81" s="46"/>
      <c r="F81" s="46"/>
      <c r="G81" s="46"/>
    </row>
    <row r="82" spans="1:11" s="109" customFormat="1">
      <c r="A82" s="46"/>
      <c r="B82" s="46"/>
      <c r="C82" s="46"/>
      <c r="D82" s="46"/>
      <c r="E82" s="46"/>
      <c r="F82" s="46"/>
      <c r="G82" s="46"/>
    </row>
    <row r="83" spans="1:11" s="109" customFormat="1">
      <c r="A83" s="46"/>
      <c r="B83" s="46"/>
      <c r="C83" s="46"/>
      <c r="D83" s="46"/>
      <c r="E83" s="46"/>
      <c r="F83" s="46"/>
      <c r="G83" s="46"/>
      <c r="H83" s="46"/>
    </row>
    <row r="84" spans="1:11" s="109" customFormat="1">
      <c r="A84" s="46"/>
      <c r="B84" s="46"/>
      <c r="C84" s="46"/>
      <c r="D84" s="46"/>
      <c r="E84" s="46"/>
      <c r="F84" s="46"/>
      <c r="G84" s="46"/>
      <c r="H84" s="46"/>
    </row>
    <row r="85" spans="1:11" s="109" customFormat="1">
      <c r="A85" s="46"/>
      <c r="B85" s="46"/>
      <c r="C85" s="46"/>
      <c r="D85" s="46"/>
      <c r="E85" s="46"/>
      <c r="F85" s="46"/>
      <c r="G85" s="46"/>
      <c r="H85" s="46"/>
    </row>
    <row r="86" spans="1:11" s="109" customFormat="1">
      <c r="A86" s="46"/>
      <c r="B86" s="46"/>
      <c r="C86" s="46"/>
      <c r="D86" s="46"/>
      <c r="E86" s="46"/>
      <c r="F86" s="46"/>
      <c r="G86" s="46"/>
      <c r="H86" s="46"/>
    </row>
    <row r="87" spans="1:11" s="109" customFormat="1">
      <c r="A87" s="46"/>
      <c r="B87" s="46"/>
      <c r="C87" s="46"/>
      <c r="D87" s="46"/>
      <c r="E87" s="46"/>
      <c r="F87" s="46"/>
      <c r="G87" s="46"/>
      <c r="H87" s="46"/>
      <c r="K87" s="46"/>
    </row>
    <row r="88" spans="1:11" s="109" customFormat="1">
      <c r="A88" s="46"/>
      <c r="B88" s="46"/>
      <c r="C88" s="46"/>
      <c r="D88" s="46"/>
      <c r="E88" s="46"/>
      <c r="F88" s="46"/>
      <c r="G88" s="46"/>
      <c r="H88" s="46"/>
      <c r="K88" s="46"/>
    </row>
    <row r="89" spans="1:11" s="109" customFormat="1">
      <c r="A89" s="46"/>
      <c r="B89" s="46"/>
      <c r="C89" s="46"/>
      <c r="D89" s="46"/>
      <c r="E89" s="46"/>
      <c r="F89" s="46"/>
      <c r="G89" s="46"/>
      <c r="H89" s="46"/>
      <c r="K89" s="46"/>
    </row>
    <row r="90" spans="1:11" s="109" customFormat="1">
      <c r="A90" s="46"/>
      <c r="B90" s="46"/>
      <c r="C90" s="46"/>
      <c r="D90" s="46"/>
      <c r="E90" s="46"/>
      <c r="F90" s="46"/>
      <c r="G90" s="46"/>
      <c r="H90" s="46"/>
      <c r="K90" s="46"/>
    </row>
    <row r="91" spans="1:11" s="109" customFormat="1">
      <c r="A91" s="46"/>
      <c r="B91" s="46"/>
      <c r="C91" s="46"/>
      <c r="D91" s="46"/>
      <c r="E91" s="46"/>
      <c r="F91" s="46"/>
      <c r="G91" s="46"/>
      <c r="H91" s="46"/>
      <c r="K91" s="46"/>
    </row>
    <row r="92" spans="1:11" s="109" customFormat="1">
      <c r="A92" s="46"/>
      <c r="B92" s="46"/>
      <c r="C92" s="46"/>
      <c r="D92" s="46"/>
      <c r="E92" s="46"/>
      <c r="F92" s="46"/>
      <c r="G92" s="46"/>
      <c r="H92" s="46"/>
      <c r="K92" s="46"/>
    </row>
    <row r="93" spans="1:11" s="109" customFormat="1">
      <c r="A93" s="46"/>
      <c r="B93" s="46"/>
      <c r="C93" s="46"/>
      <c r="D93" s="46"/>
      <c r="E93" s="46"/>
      <c r="F93" s="46"/>
      <c r="G93" s="46"/>
      <c r="H93" s="46"/>
      <c r="K93" s="46"/>
    </row>
    <row r="94" spans="1:11" s="109" customFormat="1">
      <c r="A94" s="46"/>
      <c r="B94" s="46"/>
      <c r="C94" s="46"/>
      <c r="D94" s="46"/>
      <c r="E94" s="46"/>
      <c r="F94" s="46"/>
      <c r="G94" s="46"/>
      <c r="H94" s="46"/>
      <c r="K94" s="46"/>
    </row>
    <row r="95" spans="1:11" s="109" customFormat="1">
      <c r="A95" s="46"/>
      <c r="B95" s="46"/>
      <c r="C95" s="46"/>
      <c r="D95" s="46"/>
      <c r="E95" s="46"/>
      <c r="F95" s="46"/>
      <c r="G95" s="46"/>
      <c r="H95" s="46"/>
      <c r="K95" s="46"/>
    </row>
    <row r="96" spans="1:11" s="109" customFormat="1">
      <c r="A96" s="46"/>
      <c r="B96" s="46"/>
      <c r="C96" s="46"/>
      <c r="D96" s="46"/>
      <c r="E96" s="46"/>
      <c r="F96" s="46"/>
      <c r="G96" s="46"/>
      <c r="H96" s="46"/>
      <c r="K96" s="46"/>
    </row>
    <row r="97" spans="1:11" s="109" customFormat="1">
      <c r="A97" s="46"/>
      <c r="B97" s="46"/>
      <c r="C97" s="46"/>
      <c r="D97" s="46"/>
      <c r="E97" s="46"/>
      <c r="F97" s="46"/>
      <c r="G97" s="46"/>
      <c r="H97" s="46"/>
      <c r="K97" s="46"/>
    </row>
    <row r="98" spans="1:11" s="109" customFormat="1">
      <c r="A98" s="46"/>
      <c r="B98" s="46"/>
      <c r="C98" s="46"/>
      <c r="D98" s="46"/>
      <c r="E98" s="46"/>
      <c r="F98" s="46"/>
      <c r="G98" s="46"/>
      <c r="H98" s="46"/>
      <c r="K98" s="46"/>
    </row>
    <row r="99" spans="1:11" s="109" customFormat="1">
      <c r="A99" s="46"/>
      <c r="B99" s="46"/>
      <c r="C99" s="46"/>
      <c r="D99" s="46"/>
      <c r="E99" s="46"/>
      <c r="F99" s="46"/>
      <c r="G99" s="46"/>
      <c r="H99" s="46"/>
      <c r="K99" s="46"/>
    </row>
  </sheetData>
  <mergeCells count="3">
    <mergeCell ref="A2:J2"/>
    <mergeCell ref="A3:J3"/>
    <mergeCell ref="A4:J4"/>
  </mergeCells>
  <printOptions horizontalCentered="1"/>
  <pageMargins left="0.02" right="0.15" top="0.39" bottom="0.1" header="0.21" footer="0.1"/>
  <pageSetup scale="84" orientation="portrait" horizontalDpi="4294967293" verticalDpi="30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</sheetPr>
  <dimension ref="A1:N98"/>
  <sheetViews>
    <sheetView topLeftCell="A10" workbookViewId="0">
      <selection activeCell="E52" sqref="E52"/>
    </sheetView>
  </sheetViews>
  <sheetFormatPr defaultRowHeight="12.75"/>
  <cols>
    <col min="1" max="1" width="6" style="46" customWidth="1"/>
    <col min="2" max="3" width="9.140625" style="46"/>
    <col min="4" max="4" width="16.5703125" style="46" customWidth="1"/>
    <col min="5" max="6" width="13.85546875" style="46" customWidth="1"/>
    <col min="7" max="7" width="10" style="46" customWidth="1"/>
    <col min="8" max="8" width="11.5703125" style="46" customWidth="1"/>
    <col min="9" max="9" width="11.42578125" style="46" customWidth="1"/>
    <col min="10" max="10" width="13.28515625" style="109" customWidth="1"/>
    <col min="11" max="11" width="15.7109375" style="46" customWidth="1"/>
    <col min="12" max="12" width="16.85546875" style="109" customWidth="1"/>
    <col min="13" max="13" width="17" style="109" customWidth="1"/>
    <col min="14" max="14" width="17" style="46" customWidth="1"/>
    <col min="15" max="16384" width="9.140625" style="46"/>
  </cols>
  <sheetData>
    <row r="1" spans="1:13">
      <c r="A1" s="47"/>
      <c r="B1" s="48"/>
      <c r="C1" s="48"/>
      <c r="D1" s="48"/>
      <c r="E1" s="48"/>
      <c r="F1" s="48"/>
      <c r="G1" s="48"/>
      <c r="H1" s="48"/>
      <c r="I1" s="48"/>
      <c r="J1" s="169" t="s">
        <v>81</v>
      </c>
    </row>
    <row r="2" spans="1:13">
      <c r="A2" s="389" t="s">
        <v>80</v>
      </c>
      <c r="B2" s="390"/>
      <c r="C2" s="390"/>
      <c r="D2" s="390"/>
      <c r="E2" s="390"/>
      <c r="F2" s="390"/>
      <c r="G2" s="390"/>
      <c r="H2" s="390"/>
      <c r="I2" s="390"/>
      <c r="J2" s="391"/>
    </row>
    <row r="3" spans="1:13">
      <c r="A3" s="389" t="s">
        <v>218</v>
      </c>
      <c r="B3" s="390"/>
      <c r="C3" s="390"/>
      <c r="D3" s="390"/>
      <c r="E3" s="390"/>
      <c r="F3" s="390"/>
      <c r="G3" s="390"/>
      <c r="H3" s="390"/>
      <c r="I3" s="390"/>
      <c r="J3" s="391"/>
    </row>
    <row r="4" spans="1:13">
      <c r="A4" s="389"/>
      <c r="B4" s="390"/>
      <c r="C4" s="390"/>
      <c r="D4" s="390"/>
      <c r="E4" s="390"/>
      <c r="F4" s="390"/>
      <c r="G4" s="390"/>
      <c r="H4" s="390"/>
      <c r="I4" s="390"/>
      <c r="J4" s="391"/>
    </row>
    <row r="5" spans="1:13">
      <c r="A5" s="54" t="s">
        <v>77</v>
      </c>
      <c r="B5" s="236"/>
      <c r="C5" s="236"/>
      <c r="D5" s="236"/>
      <c r="E5" s="236"/>
      <c r="F5" s="236"/>
      <c r="G5" s="236"/>
      <c r="H5" s="236"/>
      <c r="I5" s="236"/>
      <c r="J5" s="170"/>
    </row>
    <row r="6" spans="1:13">
      <c r="A6" s="54" t="s">
        <v>76</v>
      </c>
      <c r="B6" s="55"/>
      <c r="C6" s="55"/>
      <c r="D6" s="55"/>
      <c r="E6" s="55"/>
      <c r="F6" s="55"/>
      <c r="G6" s="55"/>
      <c r="H6" s="55"/>
      <c r="I6" s="55"/>
      <c r="J6" s="171"/>
      <c r="K6" s="46" t="s">
        <v>210</v>
      </c>
    </row>
    <row r="7" spans="1:13">
      <c r="A7" s="47"/>
      <c r="B7" s="48"/>
      <c r="C7" s="48"/>
      <c r="D7" s="49"/>
      <c r="E7" s="88" t="s">
        <v>8</v>
      </c>
      <c r="F7" s="50"/>
      <c r="G7" s="52"/>
      <c r="H7" s="52"/>
      <c r="I7" s="53"/>
      <c r="J7" s="110"/>
    </row>
    <row r="8" spans="1:13">
      <c r="A8" s="54"/>
      <c r="B8" s="55"/>
      <c r="C8" s="55"/>
      <c r="D8" s="56"/>
      <c r="E8" s="235" t="s">
        <v>9</v>
      </c>
      <c r="F8" s="53"/>
      <c r="G8" s="59"/>
      <c r="H8" s="59"/>
      <c r="I8" s="58"/>
      <c r="J8" s="111"/>
    </row>
    <row r="9" spans="1:13">
      <c r="A9" s="61" t="s">
        <v>68</v>
      </c>
      <c r="B9" s="55"/>
      <c r="C9" s="55"/>
      <c r="D9" s="56"/>
      <c r="E9" s="235" t="s">
        <v>10</v>
      </c>
      <c r="F9" s="60" t="s">
        <v>12</v>
      </c>
      <c r="G9" s="60" t="s">
        <v>14</v>
      </c>
      <c r="H9" s="60" t="s">
        <v>20</v>
      </c>
      <c r="I9" s="60" t="s">
        <v>22</v>
      </c>
      <c r="J9" s="112" t="s">
        <v>24</v>
      </c>
    </row>
    <row r="10" spans="1:13">
      <c r="A10" s="54"/>
      <c r="B10" s="55"/>
      <c r="C10" s="55"/>
      <c r="D10" s="56"/>
      <c r="E10" s="235" t="s">
        <v>11</v>
      </c>
      <c r="F10" s="60" t="s">
        <v>13</v>
      </c>
      <c r="G10" s="59"/>
      <c r="H10" s="60" t="s">
        <v>21</v>
      </c>
      <c r="I10" s="60" t="s">
        <v>23</v>
      </c>
      <c r="J10" s="111"/>
    </row>
    <row r="11" spans="1:13">
      <c r="A11" s="62"/>
      <c r="B11" s="63"/>
      <c r="C11" s="63"/>
      <c r="D11" s="64"/>
      <c r="E11" s="65">
        <v>0.3</v>
      </c>
      <c r="F11" s="66">
        <v>0.7</v>
      </c>
      <c r="G11" s="59"/>
      <c r="H11" s="67"/>
      <c r="I11" s="68"/>
      <c r="J11" s="113"/>
    </row>
    <row r="12" spans="1:13" ht="18" customHeight="1">
      <c r="A12" s="70" t="s">
        <v>0</v>
      </c>
      <c r="B12" s="71"/>
      <c r="C12" s="71"/>
      <c r="D12" s="72"/>
      <c r="E12" s="51"/>
      <c r="F12" s="51"/>
      <c r="G12" s="51"/>
      <c r="H12" s="51"/>
      <c r="I12" s="51"/>
      <c r="J12" s="110"/>
      <c r="L12" s="118" t="s">
        <v>90</v>
      </c>
      <c r="M12" s="118" t="s">
        <v>89</v>
      </c>
    </row>
    <row r="13" spans="1:13" ht="18" customHeight="1">
      <c r="A13" s="73" t="s">
        <v>1</v>
      </c>
      <c r="B13" s="72"/>
      <c r="C13" s="72"/>
      <c r="D13" s="72"/>
      <c r="E13" s="94">
        <f>M19*0.3</f>
        <v>162946.36154999994</v>
      </c>
      <c r="F13" s="94">
        <f>M19*0.7</f>
        <v>380208.17694999982</v>
      </c>
      <c r="G13" s="94"/>
      <c r="H13" s="94"/>
      <c r="I13" s="94"/>
      <c r="J13" s="114">
        <f>SUM(E13:I13)</f>
        <v>543154.53849999979</v>
      </c>
      <c r="K13" s="175" t="e">
        <f>SUM(J13+#REF!+#REF!+#REF!+#REF!+#REF!+#REF!+#REF!+#REF!+#REF!+#REF!+#REF!)</f>
        <v>#REF!</v>
      </c>
      <c r="L13" s="109">
        <v>21367644.399999999</v>
      </c>
      <c r="M13" s="109">
        <v>4171566.4</v>
      </c>
    </row>
    <row r="14" spans="1:13" ht="18" customHeight="1">
      <c r="A14" s="73" t="s">
        <v>2</v>
      </c>
      <c r="B14" s="72"/>
      <c r="C14" s="72"/>
      <c r="D14" s="72"/>
      <c r="E14" s="102"/>
      <c r="F14" s="102"/>
      <c r="G14" s="102"/>
      <c r="H14" s="102"/>
      <c r="I14" s="102"/>
      <c r="J14" s="110">
        <f>SUM(E14:I14)</f>
        <v>0</v>
      </c>
      <c r="K14" s="117" t="s">
        <v>88</v>
      </c>
      <c r="L14" s="109">
        <v>9400000</v>
      </c>
      <c r="M14" s="109">
        <v>5637398.9699999997</v>
      </c>
    </row>
    <row r="15" spans="1:13" ht="18" customHeight="1">
      <c r="A15" s="75" t="s">
        <v>3</v>
      </c>
      <c r="B15" s="48"/>
      <c r="C15" s="48"/>
      <c r="D15" s="48"/>
      <c r="E15" s="102"/>
      <c r="F15" s="102"/>
      <c r="G15" s="102"/>
      <c r="H15" s="102"/>
      <c r="I15" s="102"/>
      <c r="J15" s="110"/>
      <c r="L15" s="116">
        <f>SUM(L13:L14)</f>
        <v>30767644.399999999</v>
      </c>
      <c r="M15" s="116">
        <f>SUM(M13:M14)</f>
        <v>9808965.3699999992</v>
      </c>
    </row>
    <row r="16" spans="1:13" ht="18" customHeight="1">
      <c r="A16" s="76" t="s">
        <v>78</v>
      </c>
      <c r="B16" s="55"/>
      <c r="C16" s="55"/>
      <c r="D16" s="55"/>
      <c r="E16" s="103"/>
      <c r="F16" s="103"/>
      <c r="G16" s="103"/>
      <c r="H16" s="103"/>
      <c r="I16" s="103"/>
      <c r="J16" s="113">
        <f>SUM(E16:I16)</f>
        <v>0</v>
      </c>
      <c r="K16" s="46">
        <v>11930281.960000001</v>
      </c>
    </row>
    <row r="17" spans="1:13" ht="18" customHeight="1">
      <c r="A17" s="77" t="s">
        <v>79</v>
      </c>
      <c r="B17" s="72"/>
      <c r="C17" s="72"/>
      <c r="D17" s="72"/>
      <c r="E17" s="94"/>
      <c r="F17" s="94"/>
      <c r="G17" s="94"/>
      <c r="H17" s="94"/>
      <c r="I17" s="94"/>
      <c r="J17" s="113">
        <f>SUM(E17:I17)</f>
        <v>0</v>
      </c>
      <c r="K17" s="173">
        <f>K16-J16</f>
        <v>11930281.960000001</v>
      </c>
      <c r="M17" s="109">
        <v>25936573.030000001</v>
      </c>
    </row>
    <row r="18" spans="1:13" ht="18" customHeight="1">
      <c r="A18" s="70" t="s">
        <v>7</v>
      </c>
      <c r="B18" s="72"/>
      <c r="C18" s="72"/>
      <c r="D18" s="72"/>
      <c r="E18" s="119">
        <f>SUM(E13:E17)</f>
        <v>162946.36154999994</v>
      </c>
      <c r="F18" s="119">
        <f t="shared" ref="F18:J18" si="0">SUM(F13:F17)</f>
        <v>380208.17694999982</v>
      </c>
      <c r="G18" s="119">
        <f t="shared" si="0"/>
        <v>0</v>
      </c>
      <c r="H18" s="119">
        <f t="shared" si="0"/>
        <v>0</v>
      </c>
      <c r="I18" s="119">
        <f t="shared" si="0"/>
        <v>0</v>
      </c>
      <c r="J18" s="119">
        <f t="shared" si="0"/>
        <v>543154.53849999979</v>
      </c>
      <c r="K18" s="166">
        <f t="shared" ref="K18:K43" si="1">SUM(E18:I18)</f>
        <v>543154.53849999979</v>
      </c>
      <c r="L18" s="193" t="s">
        <v>171</v>
      </c>
      <c r="M18" s="192">
        <f>129115258.16-118252167.39</f>
        <v>10863090.769999996</v>
      </c>
    </row>
    <row r="19" spans="1:13" s="109" customFormat="1" ht="18" customHeight="1">
      <c r="A19" s="74" t="s">
        <v>99</v>
      </c>
      <c r="B19" s="72" t="s">
        <v>100</v>
      </c>
      <c r="C19" s="72"/>
      <c r="D19" s="72"/>
      <c r="E19" s="94">
        <f>SUM('DRRM Funds January 2015'!E45)</f>
        <v>11043915.709999999</v>
      </c>
      <c r="F19" s="94">
        <f>SUM('DRRM Funds January 2015'!F45)</f>
        <v>24838206.469999999</v>
      </c>
      <c r="G19" s="94">
        <f>SUM('DRRM Funds January 2015'!G45)</f>
        <v>0</v>
      </c>
      <c r="H19" s="94">
        <f>SUM('DRRM Funds January 2015'!H45)</f>
        <v>0</v>
      </c>
      <c r="I19" s="94">
        <f>SUM('DRRM Funds January 2015'!I45)</f>
        <v>0</v>
      </c>
      <c r="J19" s="94">
        <f>SUM('DRRM Funds January 2015'!J45)</f>
        <v>35882122.18</v>
      </c>
      <c r="K19" s="166">
        <f t="shared" si="1"/>
        <v>35882122.18</v>
      </c>
      <c r="L19" s="194">
        <v>0.05</v>
      </c>
      <c r="M19" s="262">
        <f>M18*0.05</f>
        <v>543154.53849999979</v>
      </c>
    </row>
    <row r="20" spans="1:13" s="109" customFormat="1" ht="18" customHeight="1">
      <c r="A20" s="70" t="s">
        <v>101</v>
      </c>
      <c r="B20" s="122"/>
      <c r="C20" s="72"/>
      <c r="D20" s="72"/>
      <c r="E20" s="119">
        <f>SUM(E18:E19)</f>
        <v>11206862.071549999</v>
      </c>
      <c r="F20" s="119">
        <f t="shared" ref="F20:J20" si="2">SUM(F18:F19)</f>
        <v>25218414.646949999</v>
      </c>
      <c r="G20" s="119">
        <f t="shared" si="2"/>
        <v>0</v>
      </c>
      <c r="H20" s="119">
        <f t="shared" si="2"/>
        <v>0</v>
      </c>
      <c r="I20" s="119">
        <f t="shared" si="2"/>
        <v>0</v>
      </c>
      <c r="J20" s="119">
        <f t="shared" si="2"/>
        <v>36425276.718500003</v>
      </c>
      <c r="K20" s="166">
        <f t="shared" si="1"/>
        <v>36425276.718499996</v>
      </c>
    </row>
    <row r="21" spans="1:13" ht="18" customHeight="1">
      <c r="A21" s="70" t="s">
        <v>15</v>
      </c>
      <c r="B21" s="72"/>
      <c r="C21" s="72"/>
      <c r="D21" s="72"/>
      <c r="E21" s="94"/>
      <c r="F21" s="94"/>
      <c r="G21" s="94"/>
      <c r="H21" s="94"/>
      <c r="I21" s="94"/>
      <c r="J21" s="114"/>
      <c r="K21" s="166">
        <f t="shared" si="1"/>
        <v>0</v>
      </c>
      <c r="M21" s="109">
        <v>26972032.48</v>
      </c>
    </row>
    <row r="22" spans="1:13" ht="18" customHeight="1">
      <c r="A22" s="78" t="s">
        <v>206</v>
      </c>
      <c r="B22" s="72"/>
      <c r="C22" s="72"/>
      <c r="D22" s="72"/>
      <c r="E22" s="94"/>
      <c r="F22" s="94"/>
      <c r="G22" s="94"/>
      <c r="H22" s="94"/>
      <c r="I22" s="94"/>
      <c r="J22" s="114">
        <f>SUM(E22:I22)</f>
        <v>0</v>
      </c>
      <c r="K22" s="166"/>
    </row>
    <row r="23" spans="1:13" ht="18" customHeight="1">
      <c r="A23" s="78" t="s">
        <v>207</v>
      </c>
      <c r="B23" s="72"/>
      <c r="C23" s="72"/>
      <c r="D23" s="72"/>
      <c r="E23" s="94"/>
      <c r="F23" s="94">
        <v>8690</v>
      </c>
      <c r="G23" s="94"/>
      <c r="H23" s="94"/>
      <c r="I23" s="94"/>
      <c r="J23" s="114">
        <f t="shared" ref="J23:J24" si="3">SUM(E23:I23)</f>
        <v>8690</v>
      </c>
      <c r="K23" s="166"/>
    </row>
    <row r="24" spans="1:13" ht="18" customHeight="1">
      <c r="A24" s="78" t="s">
        <v>228</v>
      </c>
      <c r="B24" s="72"/>
      <c r="C24" s="72"/>
      <c r="D24" s="72"/>
      <c r="E24" s="94"/>
      <c r="F24" s="94"/>
      <c r="G24" s="94"/>
      <c r="H24" s="94"/>
      <c r="I24" s="94"/>
      <c r="J24" s="114">
        <f t="shared" si="3"/>
        <v>0</v>
      </c>
      <c r="K24" s="166">
        <f t="shared" si="1"/>
        <v>0</v>
      </c>
      <c r="L24" s="176">
        <f>518731460.56*0.05</f>
        <v>25936573.028000001</v>
      </c>
      <c r="M24" s="109">
        <v>125607.13</v>
      </c>
    </row>
    <row r="25" spans="1:13" ht="18" customHeight="1">
      <c r="A25" s="78" t="s">
        <v>70</v>
      </c>
      <c r="B25" s="72"/>
      <c r="C25" s="72"/>
      <c r="D25" s="72"/>
      <c r="E25" s="94"/>
      <c r="F25" s="94">
        <v>835272</v>
      </c>
      <c r="G25" s="94"/>
      <c r="H25" s="94"/>
      <c r="I25" s="94"/>
      <c r="J25" s="114">
        <f>SUM(E25:I25)</f>
        <v>835272</v>
      </c>
      <c r="K25" s="166">
        <f t="shared" si="1"/>
        <v>835272</v>
      </c>
      <c r="L25" s="109" t="e">
        <f>L24-K13</f>
        <v>#REF!</v>
      </c>
      <c r="M25" s="109">
        <v>510000</v>
      </c>
    </row>
    <row r="26" spans="1:13" ht="18" customHeight="1">
      <c r="A26" s="78" t="s">
        <v>71</v>
      </c>
      <c r="B26" s="72"/>
      <c r="C26" s="72"/>
      <c r="D26" s="72"/>
      <c r="E26" s="94"/>
      <c r="F26" s="94">
        <v>978667.6</v>
      </c>
      <c r="G26" s="94"/>
      <c r="H26" s="94"/>
      <c r="I26" s="94"/>
      <c r="J26" s="114">
        <f t="shared" ref="J26:J40" si="4">SUM(E26:I26)</f>
        <v>978667.6</v>
      </c>
      <c r="K26" s="166">
        <f t="shared" si="1"/>
        <v>978667.6</v>
      </c>
      <c r="M26" s="109">
        <v>1430000</v>
      </c>
    </row>
    <row r="27" spans="1:13" ht="18" customHeight="1">
      <c r="A27" s="79" t="s">
        <v>91</v>
      </c>
      <c r="B27" s="72"/>
      <c r="C27" s="72"/>
      <c r="D27" s="72"/>
      <c r="E27" s="94"/>
      <c r="F27" s="94"/>
      <c r="G27" s="94"/>
      <c r="H27" s="94"/>
      <c r="I27" s="94"/>
      <c r="J27" s="114">
        <f t="shared" si="4"/>
        <v>0</v>
      </c>
      <c r="K27" s="166">
        <f t="shared" si="1"/>
        <v>0</v>
      </c>
      <c r="M27" s="109">
        <v>4285413.1100000003</v>
      </c>
    </row>
    <row r="28" spans="1:13" ht="18" customHeight="1">
      <c r="A28" s="78" t="s">
        <v>17</v>
      </c>
      <c r="B28" s="72"/>
      <c r="C28" s="72"/>
      <c r="D28" s="72"/>
      <c r="E28" s="94"/>
      <c r="F28" s="94"/>
      <c r="G28" s="94"/>
      <c r="H28" s="94"/>
      <c r="I28" s="94"/>
      <c r="J28" s="114">
        <f t="shared" si="4"/>
        <v>0</v>
      </c>
      <c r="K28" s="166">
        <f t="shared" si="1"/>
        <v>0</v>
      </c>
      <c r="M28" s="109">
        <v>3777930</v>
      </c>
    </row>
    <row r="29" spans="1:13" ht="18" customHeight="1">
      <c r="A29" s="78" t="s">
        <v>227</v>
      </c>
      <c r="B29" s="72"/>
      <c r="C29" s="72"/>
      <c r="D29" s="72"/>
      <c r="E29" s="94"/>
      <c r="F29" s="94">
        <v>48000</v>
      </c>
      <c r="G29" s="94"/>
      <c r="H29" s="94"/>
      <c r="I29" s="94"/>
      <c r="J29" s="114">
        <f t="shared" si="4"/>
        <v>48000</v>
      </c>
      <c r="K29" s="166">
        <f t="shared" si="1"/>
        <v>48000</v>
      </c>
      <c r="L29" s="118" t="s">
        <v>162</v>
      </c>
      <c r="M29" s="109">
        <v>100</v>
      </c>
    </row>
    <row r="30" spans="1:13" ht="18" customHeight="1">
      <c r="A30" s="78" t="s">
        <v>213</v>
      </c>
      <c r="B30" s="72"/>
      <c r="C30" s="72"/>
      <c r="D30" s="72"/>
      <c r="E30" s="94"/>
      <c r="F30" s="94"/>
      <c r="G30" s="94"/>
      <c r="H30" s="94"/>
      <c r="I30" s="94"/>
      <c r="J30" s="114">
        <f t="shared" si="4"/>
        <v>0</v>
      </c>
      <c r="K30" s="166"/>
      <c r="L30" s="118"/>
      <c r="M30" s="109">
        <f>SUM(M24:M29)</f>
        <v>10129050.24</v>
      </c>
    </row>
    <row r="31" spans="1:13" ht="18" customHeight="1">
      <c r="A31" s="78" t="s">
        <v>214</v>
      </c>
      <c r="B31" s="72"/>
      <c r="C31" s="72"/>
      <c r="D31" s="72"/>
      <c r="E31" s="94"/>
      <c r="F31" s="94"/>
      <c r="G31" s="94"/>
      <c r="H31" s="94"/>
      <c r="I31" s="94"/>
      <c r="J31" s="114">
        <f t="shared" si="4"/>
        <v>0</v>
      </c>
      <c r="K31" s="227" t="s">
        <v>226</v>
      </c>
      <c r="L31" s="118"/>
    </row>
    <row r="32" spans="1:13" ht="18" customHeight="1">
      <c r="A32" s="78" t="s">
        <v>102</v>
      </c>
      <c r="B32" s="72"/>
      <c r="C32" s="72"/>
      <c r="D32" s="72"/>
      <c r="E32" s="94"/>
      <c r="F32" s="94">
        <v>3800000</v>
      </c>
      <c r="G32" s="94"/>
      <c r="H32" s="94"/>
      <c r="I32" s="94"/>
      <c r="J32" s="114">
        <f t="shared" si="4"/>
        <v>3800000</v>
      </c>
      <c r="K32" s="226">
        <f t="shared" si="1"/>
        <v>3800000</v>
      </c>
      <c r="L32" s="109">
        <f>SUM(F29:F32)</f>
        <v>3848000</v>
      </c>
    </row>
    <row r="33" spans="1:14" ht="18" customHeight="1">
      <c r="A33" s="78" t="s">
        <v>19</v>
      </c>
      <c r="B33" s="72"/>
      <c r="C33" s="72"/>
      <c r="D33" s="72"/>
      <c r="E33" s="94"/>
      <c r="F33" s="94"/>
      <c r="G33" s="94"/>
      <c r="H33" s="94"/>
      <c r="I33" s="94"/>
      <c r="J33" s="114">
        <f t="shared" si="4"/>
        <v>0</v>
      </c>
      <c r="K33" s="166">
        <f t="shared" si="1"/>
        <v>0</v>
      </c>
      <c r="L33" s="109">
        <v>147060</v>
      </c>
    </row>
    <row r="34" spans="1:14" ht="18" customHeight="1">
      <c r="A34" s="78" t="s">
        <v>168</v>
      </c>
      <c r="B34" s="72"/>
      <c r="C34" s="72"/>
      <c r="D34" s="72"/>
      <c r="E34" s="94"/>
      <c r="F34" s="94"/>
      <c r="G34" s="94"/>
      <c r="H34" s="94"/>
      <c r="I34" s="94"/>
      <c r="J34" s="114">
        <f t="shared" si="4"/>
        <v>0</v>
      </c>
      <c r="K34" s="166">
        <f t="shared" si="1"/>
        <v>0</v>
      </c>
    </row>
    <row r="35" spans="1:14" ht="18" customHeight="1">
      <c r="A35" s="78" t="s">
        <v>208</v>
      </c>
      <c r="B35" s="72"/>
      <c r="C35" s="72"/>
      <c r="D35" s="72"/>
      <c r="E35" s="94"/>
      <c r="F35" s="94"/>
      <c r="G35" s="94"/>
      <c r="H35" s="94"/>
      <c r="I35" s="94"/>
      <c r="J35" s="114"/>
      <c r="K35" s="166">
        <f t="shared" si="1"/>
        <v>0</v>
      </c>
      <c r="L35" s="109">
        <v>1555500</v>
      </c>
    </row>
    <row r="36" spans="1:14" ht="18" customHeight="1">
      <c r="A36" s="78"/>
      <c r="B36" s="72" t="s">
        <v>209</v>
      </c>
      <c r="C36" s="72"/>
      <c r="D36" s="72"/>
      <c r="E36" s="94"/>
      <c r="F36" s="94"/>
      <c r="G36" s="94"/>
      <c r="H36" s="94"/>
      <c r="I36" s="94"/>
      <c r="J36" s="114">
        <f t="shared" si="4"/>
        <v>0</v>
      </c>
      <c r="K36" s="166">
        <f t="shared" si="1"/>
        <v>0</v>
      </c>
      <c r="L36" s="109">
        <v>2209000</v>
      </c>
    </row>
    <row r="37" spans="1:14" ht="18" customHeight="1">
      <c r="A37" s="78" t="s">
        <v>75</v>
      </c>
      <c r="B37" s="72"/>
      <c r="C37" s="72"/>
      <c r="D37" s="72"/>
      <c r="E37" s="94"/>
      <c r="F37" s="94"/>
      <c r="G37" s="94"/>
      <c r="H37" s="94"/>
      <c r="I37" s="94"/>
      <c r="J37" s="114">
        <f t="shared" si="4"/>
        <v>0</v>
      </c>
      <c r="K37" s="166">
        <f t="shared" si="1"/>
        <v>0</v>
      </c>
      <c r="L37" s="109">
        <v>173800</v>
      </c>
    </row>
    <row r="38" spans="1:14" ht="18" customHeight="1">
      <c r="A38" s="79" t="s">
        <v>94</v>
      </c>
      <c r="B38" s="72"/>
      <c r="C38" s="72"/>
      <c r="D38" s="72"/>
      <c r="E38" s="94"/>
      <c r="F38" s="94"/>
      <c r="G38" s="94"/>
      <c r="H38" s="94"/>
      <c r="I38" s="94"/>
      <c r="J38" s="114">
        <f t="shared" si="4"/>
        <v>0</v>
      </c>
      <c r="K38" s="166">
        <f t="shared" si="1"/>
        <v>0</v>
      </c>
      <c r="L38" s="109">
        <v>177000</v>
      </c>
    </row>
    <row r="39" spans="1:14" ht="18" customHeight="1">
      <c r="A39" s="79" t="s">
        <v>95</v>
      </c>
      <c r="B39" s="72"/>
      <c r="C39" s="72"/>
      <c r="D39" s="72"/>
      <c r="E39" s="94"/>
      <c r="F39" s="94"/>
      <c r="G39" s="94"/>
      <c r="H39" s="94"/>
      <c r="I39" s="94"/>
      <c r="J39" s="114">
        <f t="shared" si="4"/>
        <v>0</v>
      </c>
      <c r="K39" s="166">
        <f t="shared" si="1"/>
        <v>0</v>
      </c>
      <c r="L39" s="109">
        <v>204055</v>
      </c>
    </row>
    <row r="40" spans="1:14" ht="18" customHeight="1">
      <c r="A40" s="78" t="s">
        <v>96</v>
      </c>
      <c r="B40" s="72"/>
      <c r="C40" s="72"/>
      <c r="D40" s="72"/>
      <c r="E40" s="94"/>
      <c r="F40" s="94"/>
      <c r="G40" s="94"/>
      <c r="H40" s="94"/>
      <c r="I40" s="94"/>
      <c r="J40" s="114">
        <f t="shared" si="4"/>
        <v>0</v>
      </c>
      <c r="K40" s="166">
        <f t="shared" si="1"/>
        <v>0</v>
      </c>
      <c r="L40" s="109">
        <v>71070</v>
      </c>
    </row>
    <row r="41" spans="1:14" ht="18" customHeight="1">
      <c r="A41" s="84" t="s">
        <v>92</v>
      </c>
      <c r="B41" s="63"/>
      <c r="C41" s="63"/>
      <c r="D41" s="63"/>
      <c r="E41" s="94">
        <f t="shared" ref="E41:J41" si="5">SUM(E22:E40)</f>
        <v>0</v>
      </c>
      <c r="F41" s="94">
        <f t="shared" si="5"/>
        <v>5670629.5999999996</v>
      </c>
      <c r="G41" s="94">
        <f t="shared" si="5"/>
        <v>0</v>
      </c>
      <c r="H41" s="94">
        <f t="shared" si="5"/>
        <v>0</v>
      </c>
      <c r="I41" s="94">
        <f t="shared" si="5"/>
        <v>0</v>
      </c>
      <c r="J41" s="94">
        <f t="shared" si="5"/>
        <v>5670629.5999999996</v>
      </c>
      <c r="K41" s="166">
        <f t="shared" si="1"/>
        <v>5670629.5999999996</v>
      </c>
      <c r="L41" s="109">
        <v>27800</v>
      </c>
      <c r="M41" s="46"/>
    </row>
    <row r="42" spans="1:14" ht="18" customHeight="1">
      <c r="A42" s="84" t="s">
        <v>103</v>
      </c>
      <c r="B42" s="63"/>
      <c r="C42" s="63"/>
      <c r="D42" s="63"/>
      <c r="E42" s="103">
        <f>SUM('DRRM Funds January 2015'!E44)</f>
        <v>0</v>
      </c>
      <c r="F42" s="103">
        <f>SUM('DRRM Funds January 2015'!F44)</f>
        <v>1327467.25</v>
      </c>
      <c r="G42" s="103">
        <f>SUM('DRRM Funds January 2015'!G44)</f>
        <v>0</v>
      </c>
      <c r="H42" s="103">
        <f>SUM('DRRM Funds January 2015'!H44)</f>
        <v>0</v>
      </c>
      <c r="I42" s="103">
        <f>SUM('DRRM Funds January 2015'!I44)</f>
        <v>0</v>
      </c>
      <c r="J42" s="103">
        <f>SUM('DRRM Funds January 2015'!J44)</f>
        <v>1327467.25</v>
      </c>
      <c r="K42" s="166">
        <f t="shared" si="1"/>
        <v>1327467.25</v>
      </c>
      <c r="L42" s="109">
        <v>126865</v>
      </c>
      <c r="M42" s="109">
        <f>SUM(E42:H42)</f>
        <v>1327467.25</v>
      </c>
    </row>
    <row r="43" spans="1:14" ht="18" customHeight="1">
      <c r="A43" s="84" t="s">
        <v>104</v>
      </c>
      <c r="B43" s="63"/>
      <c r="C43" s="63"/>
      <c r="D43" s="63"/>
      <c r="E43" s="103">
        <f>SUM(E41:E42)</f>
        <v>0</v>
      </c>
      <c r="F43" s="103">
        <f>SUM(F41:F42)</f>
        <v>6998096.8499999996</v>
      </c>
      <c r="G43" s="103">
        <f t="shared" ref="G43:J43" si="6">SUM(G41:G42)</f>
        <v>0</v>
      </c>
      <c r="H43" s="103">
        <f t="shared" si="6"/>
        <v>0</v>
      </c>
      <c r="I43" s="103">
        <f t="shared" si="6"/>
        <v>0</v>
      </c>
      <c r="J43" s="103">
        <f t="shared" si="6"/>
        <v>6998096.8499999996</v>
      </c>
      <c r="K43" s="166">
        <f t="shared" si="1"/>
        <v>6998096.8499999996</v>
      </c>
      <c r="L43" s="174">
        <f>SUM(L32:L42)</f>
        <v>8540150</v>
      </c>
      <c r="M43" s="109">
        <v>10492358.970000001</v>
      </c>
    </row>
    <row r="44" spans="1:14" ht="18" customHeight="1">
      <c r="A44" s="70" t="s">
        <v>93</v>
      </c>
      <c r="B44" s="72"/>
      <c r="C44" s="72"/>
      <c r="D44" s="80"/>
      <c r="E44" s="231">
        <f t="shared" ref="E44:J44" si="7">E20-E41</f>
        <v>11206862.071549999</v>
      </c>
      <c r="F44" s="231">
        <f t="shared" si="7"/>
        <v>19547785.046949998</v>
      </c>
      <c r="G44" s="231">
        <f t="shared" si="7"/>
        <v>0</v>
      </c>
      <c r="H44" s="231">
        <f t="shared" si="7"/>
        <v>0</v>
      </c>
      <c r="I44" s="231">
        <f t="shared" si="7"/>
        <v>0</v>
      </c>
      <c r="J44" s="231">
        <f t="shared" si="7"/>
        <v>30754647.118500002</v>
      </c>
      <c r="K44" s="166">
        <f>SUM(E44:I44)</f>
        <v>30754647.118499994</v>
      </c>
      <c r="L44" s="46"/>
      <c r="M44" s="109">
        <f>M43-L43</f>
        <v>1952208.9700000007</v>
      </c>
    </row>
    <row r="45" spans="1:14" ht="18" customHeight="1">
      <c r="A45" s="55"/>
      <c r="B45" s="55"/>
      <c r="C45" s="55"/>
      <c r="D45" s="55"/>
      <c r="E45" s="55"/>
      <c r="F45" s="55"/>
      <c r="G45" s="55"/>
      <c r="H45" s="55"/>
      <c r="I45" s="55"/>
      <c r="J45" s="115" t="s">
        <v>74</v>
      </c>
      <c r="K45" s="92">
        <f>SUM(E44:F44)</f>
        <v>30754647.118499994</v>
      </c>
      <c r="M45" s="109">
        <v>0</v>
      </c>
    </row>
    <row r="46" spans="1:14" ht="18" customHeight="1">
      <c r="A46" s="55"/>
      <c r="B46" s="55"/>
      <c r="C46" s="55"/>
      <c r="D46" s="55"/>
      <c r="E46" s="55"/>
      <c r="F46" s="55"/>
      <c r="G46" s="55"/>
      <c r="H46" s="55"/>
      <c r="I46" s="55"/>
      <c r="J46" s="115"/>
      <c r="K46" s="92">
        <f>SUM(E43:F43)</f>
        <v>6998096.8499999996</v>
      </c>
      <c r="M46" s="109">
        <f>SUM(M44:M45)</f>
        <v>1952208.9700000007</v>
      </c>
      <c r="N46" s="173">
        <f>SUM(L43+M46)</f>
        <v>10492358.970000001</v>
      </c>
    </row>
    <row r="47" spans="1:14">
      <c r="A47" s="55" t="s">
        <v>83</v>
      </c>
      <c r="B47" s="55"/>
      <c r="C47" s="55"/>
      <c r="D47" s="55"/>
      <c r="E47" s="55"/>
      <c r="F47" s="55"/>
      <c r="G47" s="55"/>
      <c r="H47" s="55" t="s">
        <v>29</v>
      </c>
      <c r="I47" s="55"/>
      <c r="J47" s="115"/>
      <c r="K47" s="55"/>
      <c r="L47" s="109">
        <v>752760</v>
      </c>
    </row>
    <row r="48" spans="1:14">
      <c r="A48" s="55"/>
      <c r="B48" s="55"/>
      <c r="C48" s="55"/>
      <c r="D48" s="55"/>
      <c r="E48" s="55"/>
      <c r="F48" s="55"/>
      <c r="G48" s="55"/>
      <c r="H48" s="55"/>
      <c r="I48" s="55"/>
      <c r="J48" s="115"/>
      <c r="K48" s="55"/>
      <c r="L48" s="109">
        <v>902075</v>
      </c>
    </row>
    <row r="49" spans="1:13">
      <c r="A49" s="55"/>
      <c r="B49" s="55"/>
      <c r="C49" s="55"/>
      <c r="D49" s="55"/>
      <c r="E49" s="55"/>
      <c r="F49" s="55"/>
      <c r="G49" s="55"/>
      <c r="H49" s="172"/>
      <c r="I49" s="55"/>
      <c r="J49" s="115"/>
      <c r="K49" s="55"/>
      <c r="L49" s="109">
        <v>1032329.7</v>
      </c>
      <c r="M49" s="109">
        <v>1897753.11</v>
      </c>
    </row>
    <row r="50" spans="1:13">
      <c r="A50" s="55" t="s">
        <v>202</v>
      </c>
      <c r="B50" s="55"/>
      <c r="C50" s="55"/>
      <c r="D50" s="55"/>
      <c r="E50" s="55"/>
      <c r="F50" s="55"/>
      <c r="G50" s="55"/>
      <c r="H50" s="140" t="s">
        <v>194</v>
      </c>
      <c r="I50" s="55"/>
      <c r="J50" s="115"/>
      <c r="K50" s="55"/>
      <c r="L50" s="109">
        <v>504234.65</v>
      </c>
      <c r="M50" s="109">
        <v>8736531.7100000009</v>
      </c>
    </row>
    <row r="51" spans="1:13">
      <c r="A51" s="140" t="s">
        <v>203</v>
      </c>
      <c r="B51" s="55"/>
      <c r="C51" s="55"/>
      <c r="D51" s="55"/>
      <c r="E51" s="55"/>
      <c r="F51" s="55"/>
      <c r="G51" s="55"/>
      <c r="H51" s="140" t="s">
        <v>195</v>
      </c>
      <c r="I51" s="55"/>
      <c r="J51" s="115"/>
      <c r="K51" s="55"/>
      <c r="L51" s="109">
        <v>899145</v>
      </c>
      <c r="M51" s="109">
        <v>10140</v>
      </c>
    </row>
    <row r="52" spans="1:13">
      <c r="A52" s="55"/>
      <c r="B52" s="55"/>
      <c r="C52" s="55"/>
      <c r="D52" s="55"/>
      <c r="E52" s="121"/>
      <c r="F52" s="55"/>
      <c r="G52" s="55"/>
      <c r="H52" s="55"/>
      <c r="I52" s="55"/>
      <c r="J52" s="115"/>
      <c r="K52" s="55"/>
      <c r="L52" s="109">
        <v>1087927.3999999999</v>
      </c>
      <c r="M52" s="109">
        <f>SUM(M49:M51)</f>
        <v>10644424.82</v>
      </c>
    </row>
    <row r="53" spans="1:13">
      <c r="A53" s="55"/>
      <c r="B53" s="55"/>
      <c r="C53" s="55"/>
      <c r="D53" s="55"/>
      <c r="E53" s="115"/>
      <c r="F53" s="55"/>
      <c r="G53" s="55"/>
      <c r="H53" s="55"/>
      <c r="I53" s="115"/>
      <c r="J53" s="115"/>
      <c r="K53" s="55"/>
      <c r="L53" s="109">
        <v>2896515.5</v>
      </c>
    </row>
    <row r="54" spans="1:13">
      <c r="A54" s="55"/>
      <c r="B54" s="55"/>
      <c r="C54" s="55"/>
      <c r="D54" s="55"/>
      <c r="E54" s="55"/>
      <c r="F54" s="55"/>
      <c r="G54" s="55"/>
      <c r="H54" s="55"/>
      <c r="I54" s="115"/>
      <c r="J54" s="115"/>
      <c r="K54" s="55"/>
      <c r="L54" s="109">
        <v>120000</v>
      </c>
    </row>
    <row r="55" spans="1:13">
      <c r="I55" s="109"/>
      <c r="M55" s="46"/>
    </row>
    <row r="56" spans="1:13">
      <c r="F56" s="121">
        <f>F18-F57</f>
        <v>-1794946.1230500001</v>
      </c>
      <c r="I56" s="109"/>
      <c r="K56" s="55"/>
      <c r="L56" s="115">
        <v>630000</v>
      </c>
      <c r="M56" s="183">
        <v>10644424.82</v>
      </c>
    </row>
    <row r="57" spans="1:13">
      <c r="F57" s="115">
        <f>49980+103610+255752.8+265335+81917.75+32889+315132+287135.25+143400+640002.5</f>
        <v>2175154.2999999998</v>
      </c>
      <c r="I57" s="109"/>
      <c r="J57" s="109">
        <v>7850000</v>
      </c>
      <c r="L57" s="109">
        <v>1000000</v>
      </c>
      <c r="M57" s="183">
        <v>13157941.960000001</v>
      </c>
    </row>
    <row r="58" spans="1:13">
      <c r="I58" s="109"/>
      <c r="J58" s="109">
        <v>800000</v>
      </c>
      <c r="L58" s="109">
        <v>1300000</v>
      </c>
      <c r="M58" s="184">
        <v>0</v>
      </c>
    </row>
    <row r="59" spans="1:13">
      <c r="I59" s="109"/>
      <c r="J59" s="109">
        <v>1200000</v>
      </c>
      <c r="L59" s="109">
        <v>2000000</v>
      </c>
      <c r="M59" s="183">
        <f>SUM(M56:M58)</f>
        <v>23802366.780000001</v>
      </c>
    </row>
    <row r="60" spans="1:13">
      <c r="I60" s="109"/>
      <c r="J60" s="109">
        <v>3500000</v>
      </c>
      <c r="L60" s="109">
        <v>150000</v>
      </c>
      <c r="M60" s="183">
        <v>24092226.780000001</v>
      </c>
    </row>
    <row r="61" spans="1:13">
      <c r="I61" s="109">
        <v>100000</v>
      </c>
      <c r="J61" s="116">
        <f>SUM(J57:J60)</f>
        <v>13350000</v>
      </c>
      <c r="L61" s="109">
        <v>4590281.96</v>
      </c>
      <c r="M61" s="183">
        <f>M60-M59</f>
        <v>289860</v>
      </c>
    </row>
    <row r="62" spans="1:13">
      <c r="I62" s="109">
        <v>4589687.1100000003</v>
      </c>
      <c r="J62" s="109">
        <v>16829861.079999998</v>
      </c>
      <c r="L62" s="109">
        <f>SUM(L56:L61)</f>
        <v>9670281.9600000009</v>
      </c>
      <c r="M62" s="46"/>
    </row>
    <row r="63" spans="1:13">
      <c r="I63" s="116">
        <f>SUM(I57:I62)</f>
        <v>4689687.1100000003</v>
      </c>
      <c r="J63" s="109">
        <f>J61-J62</f>
        <v>-3479861.0799999982</v>
      </c>
      <c r="M63" s="109">
        <v>24416573.030000001</v>
      </c>
    </row>
    <row r="64" spans="1:13">
      <c r="I64" s="109">
        <v>7212797.6100000003</v>
      </c>
      <c r="M64" s="109">
        <v>24708913.030000001</v>
      </c>
    </row>
    <row r="65" spans="1:13">
      <c r="I65" s="109">
        <f>I63-I64</f>
        <v>-2523110.5</v>
      </c>
      <c r="M65" s="109">
        <f>M63-M64</f>
        <v>-292340</v>
      </c>
    </row>
    <row r="66" spans="1:13">
      <c r="I66" s="109"/>
      <c r="M66" s="109">
        <v>289860</v>
      </c>
    </row>
    <row r="67" spans="1:13">
      <c r="I67" s="109"/>
      <c r="J67" s="109">
        <v>25346381.800000001</v>
      </c>
      <c r="M67" s="173">
        <f>SUM(M65:M66)</f>
        <v>-2480</v>
      </c>
    </row>
    <row r="68" spans="1:13">
      <c r="I68" s="109"/>
      <c r="J68" s="109">
        <v>24042658.690000001</v>
      </c>
      <c r="M68" s="46"/>
    </row>
    <row r="69" spans="1:13">
      <c r="I69" s="109"/>
      <c r="J69" s="109">
        <f>J67-J68</f>
        <v>1303723.1099999994</v>
      </c>
      <c r="L69" s="109">
        <v>400000</v>
      </c>
      <c r="M69" s="46"/>
    </row>
    <row r="70" spans="1:13">
      <c r="I70" s="109"/>
      <c r="L70" s="109">
        <v>1000000</v>
      </c>
      <c r="M70" s="109">
        <v>25279.7</v>
      </c>
    </row>
    <row r="71" spans="1:13">
      <c r="I71" s="109"/>
      <c r="M71" s="109">
        <v>27759.7</v>
      </c>
    </row>
    <row r="72" spans="1:13">
      <c r="H72" s="109"/>
      <c r="I72" s="109"/>
      <c r="M72" s="173">
        <f>M70-M71</f>
        <v>-2480</v>
      </c>
    </row>
    <row r="73" spans="1:13">
      <c r="H73" s="109">
        <v>4455551.57</v>
      </c>
      <c r="I73" s="109"/>
      <c r="J73" s="109">
        <v>17496381.800000001</v>
      </c>
      <c r="M73" s="46"/>
    </row>
    <row r="74" spans="1:13">
      <c r="H74" s="109">
        <v>5760963.6399999997</v>
      </c>
      <c r="I74" s="109"/>
      <c r="J74" s="109">
        <v>7850000</v>
      </c>
      <c r="M74" s="46"/>
    </row>
    <row r="75" spans="1:13">
      <c r="H75" s="109">
        <f>SUM(H73:H74)</f>
        <v>10216515.210000001</v>
      </c>
      <c r="I75" s="109"/>
      <c r="J75" s="109">
        <f>SUM(J73:J74)</f>
        <v>25346381.800000001</v>
      </c>
      <c r="M75" s="46"/>
    </row>
    <row r="76" spans="1:13" s="109" customFormat="1">
      <c r="A76" s="46"/>
      <c r="B76" s="46"/>
      <c r="C76" s="46"/>
      <c r="D76" s="46"/>
      <c r="E76" s="46"/>
      <c r="F76" s="46"/>
      <c r="G76" s="46"/>
    </row>
    <row r="77" spans="1:13" s="109" customFormat="1">
      <c r="A77" s="46"/>
      <c r="B77" s="46"/>
      <c r="C77" s="46"/>
      <c r="D77" s="46"/>
      <c r="E77" s="46"/>
      <c r="F77" s="46"/>
      <c r="G77" s="46"/>
    </row>
    <row r="78" spans="1:13" s="109" customFormat="1">
      <c r="A78" s="46"/>
      <c r="B78" s="46"/>
      <c r="C78" s="46"/>
      <c r="D78" s="46"/>
      <c r="E78" s="46"/>
      <c r="F78" s="46"/>
      <c r="G78" s="46"/>
    </row>
    <row r="79" spans="1:13" s="109" customFormat="1">
      <c r="A79" s="46"/>
      <c r="B79" s="46"/>
      <c r="C79" s="46"/>
      <c r="D79" s="46"/>
      <c r="E79" s="46"/>
      <c r="F79" s="46"/>
      <c r="G79" s="46"/>
    </row>
    <row r="80" spans="1:13" s="109" customFormat="1">
      <c r="A80" s="46"/>
      <c r="B80" s="46"/>
      <c r="C80" s="46"/>
      <c r="D80" s="46"/>
      <c r="E80" s="46"/>
      <c r="F80" s="46"/>
      <c r="G80" s="46"/>
    </row>
    <row r="81" spans="1:11" s="109" customFormat="1">
      <c r="A81" s="46"/>
      <c r="B81" s="46"/>
      <c r="C81" s="46"/>
      <c r="D81" s="46"/>
      <c r="E81" s="46"/>
      <c r="F81" s="46"/>
      <c r="G81" s="46"/>
    </row>
    <row r="82" spans="1:11" s="109" customFormat="1">
      <c r="A82" s="46"/>
      <c r="B82" s="46"/>
      <c r="C82" s="46"/>
      <c r="D82" s="46"/>
      <c r="E82" s="46"/>
      <c r="F82" s="46"/>
      <c r="G82" s="46"/>
      <c r="H82" s="46"/>
    </row>
    <row r="83" spans="1:11" s="109" customFormat="1">
      <c r="A83" s="46"/>
      <c r="B83" s="46"/>
      <c r="C83" s="46"/>
      <c r="D83" s="46"/>
      <c r="E83" s="46"/>
      <c r="F83" s="46"/>
      <c r="G83" s="46"/>
      <c r="H83" s="46"/>
    </row>
    <row r="84" spans="1:11" s="109" customFormat="1">
      <c r="A84" s="46"/>
      <c r="B84" s="46"/>
      <c r="C84" s="46"/>
      <c r="D84" s="46"/>
      <c r="E84" s="46"/>
      <c r="F84" s="46"/>
      <c r="G84" s="46"/>
      <c r="H84" s="46"/>
    </row>
    <row r="85" spans="1:11" s="109" customFormat="1">
      <c r="A85" s="46"/>
      <c r="B85" s="46"/>
      <c r="C85" s="46"/>
      <c r="D85" s="46"/>
      <c r="E85" s="46"/>
      <c r="F85" s="46"/>
      <c r="G85" s="46"/>
      <c r="H85" s="46"/>
    </row>
    <row r="86" spans="1:11" s="109" customFormat="1">
      <c r="A86" s="46"/>
      <c r="B86" s="46"/>
      <c r="C86" s="46"/>
      <c r="D86" s="46"/>
      <c r="E86" s="46"/>
      <c r="F86" s="46"/>
      <c r="G86" s="46"/>
      <c r="H86" s="46"/>
      <c r="K86" s="46"/>
    </row>
    <row r="87" spans="1:11" s="109" customFormat="1">
      <c r="A87" s="46"/>
      <c r="B87" s="46"/>
      <c r="C87" s="46"/>
      <c r="D87" s="46"/>
      <c r="E87" s="46"/>
      <c r="F87" s="46"/>
      <c r="G87" s="46"/>
      <c r="H87" s="46"/>
      <c r="K87" s="46"/>
    </row>
    <row r="88" spans="1:11" s="109" customFormat="1">
      <c r="A88" s="46"/>
      <c r="B88" s="46"/>
      <c r="C88" s="46"/>
      <c r="D88" s="46"/>
      <c r="E88" s="46"/>
      <c r="F88" s="46"/>
      <c r="G88" s="46"/>
      <c r="H88" s="46"/>
      <c r="K88" s="46"/>
    </row>
    <row r="89" spans="1:11" s="109" customFormat="1">
      <c r="A89" s="46"/>
      <c r="B89" s="46"/>
      <c r="C89" s="46"/>
      <c r="D89" s="46"/>
      <c r="E89" s="46"/>
      <c r="F89" s="46"/>
      <c r="G89" s="46"/>
      <c r="H89" s="46"/>
      <c r="K89" s="46"/>
    </row>
    <row r="90" spans="1:11" s="109" customFormat="1">
      <c r="A90" s="46"/>
      <c r="B90" s="46"/>
      <c r="C90" s="46"/>
      <c r="D90" s="46"/>
      <c r="E90" s="46"/>
      <c r="F90" s="46"/>
      <c r="G90" s="46"/>
      <c r="H90" s="46"/>
      <c r="K90" s="46"/>
    </row>
    <row r="91" spans="1:11" s="109" customFormat="1">
      <c r="A91" s="46"/>
      <c r="B91" s="46"/>
      <c r="C91" s="46"/>
      <c r="D91" s="46"/>
      <c r="E91" s="46"/>
      <c r="F91" s="46"/>
      <c r="G91" s="46"/>
      <c r="H91" s="46"/>
      <c r="K91" s="46"/>
    </row>
    <row r="92" spans="1:11" s="109" customFormat="1">
      <c r="A92" s="46"/>
      <c r="B92" s="46"/>
      <c r="C92" s="46"/>
      <c r="D92" s="46"/>
      <c r="E92" s="46"/>
      <c r="F92" s="46"/>
      <c r="G92" s="46"/>
      <c r="H92" s="46"/>
      <c r="K92" s="46"/>
    </row>
    <row r="93" spans="1:11" s="109" customFormat="1">
      <c r="A93" s="46"/>
      <c r="B93" s="46"/>
      <c r="C93" s="46"/>
      <c r="D93" s="46"/>
      <c r="E93" s="46"/>
      <c r="F93" s="46"/>
      <c r="G93" s="46"/>
      <c r="H93" s="46"/>
      <c r="K93" s="46"/>
    </row>
    <row r="94" spans="1:11" s="109" customFormat="1">
      <c r="A94" s="46"/>
      <c r="B94" s="46"/>
      <c r="C94" s="46"/>
      <c r="D94" s="46"/>
      <c r="E94" s="46"/>
      <c r="F94" s="46"/>
      <c r="G94" s="46"/>
      <c r="H94" s="46"/>
      <c r="K94" s="46"/>
    </row>
    <row r="95" spans="1:11" s="109" customFormat="1">
      <c r="A95" s="46"/>
      <c r="B95" s="46"/>
      <c r="C95" s="46"/>
      <c r="D95" s="46"/>
      <c r="E95" s="46"/>
      <c r="F95" s="46"/>
      <c r="G95" s="46"/>
      <c r="H95" s="46"/>
      <c r="K95" s="46"/>
    </row>
    <row r="96" spans="1:11" s="109" customFormat="1">
      <c r="A96" s="46"/>
      <c r="B96" s="46"/>
      <c r="C96" s="46"/>
      <c r="D96" s="46"/>
      <c r="E96" s="46"/>
      <c r="F96" s="46"/>
      <c r="G96" s="46"/>
      <c r="H96" s="46"/>
      <c r="K96" s="46"/>
    </row>
    <row r="97" spans="1:11" s="109" customFormat="1">
      <c r="A97" s="46"/>
      <c r="B97" s="46"/>
      <c r="C97" s="46"/>
      <c r="D97" s="46"/>
      <c r="E97" s="46"/>
      <c r="F97" s="46"/>
      <c r="G97" s="46"/>
      <c r="H97" s="46"/>
      <c r="K97" s="46"/>
    </row>
    <row r="98" spans="1:11" s="109" customFormat="1">
      <c r="A98" s="46"/>
      <c r="B98" s="46"/>
      <c r="C98" s="46"/>
      <c r="D98" s="46"/>
      <c r="E98" s="46"/>
      <c r="F98" s="46"/>
      <c r="G98" s="46"/>
      <c r="H98" s="46"/>
      <c r="K98" s="46"/>
    </row>
  </sheetData>
  <mergeCells count="3">
    <mergeCell ref="A2:J2"/>
    <mergeCell ref="A3:J3"/>
    <mergeCell ref="A4:J4"/>
  </mergeCells>
  <printOptions horizontalCentered="1"/>
  <pageMargins left="0.02" right="0.15" top="0.39" bottom="0.1" header="0.21" footer="0.1"/>
  <pageSetup scale="84" orientation="portrait" horizontalDpi="4294967293" verticalDpi="30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</sheetPr>
  <dimension ref="A1:N98"/>
  <sheetViews>
    <sheetView topLeftCell="A22" workbookViewId="0">
      <selection activeCell="H34" sqref="H34"/>
    </sheetView>
  </sheetViews>
  <sheetFormatPr defaultRowHeight="12.75"/>
  <cols>
    <col min="1" max="1" width="6" style="46" customWidth="1"/>
    <col min="2" max="3" width="9.140625" style="46"/>
    <col min="4" max="4" width="16.5703125" style="46" customWidth="1"/>
    <col min="5" max="6" width="13.85546875" style="46" customWidth="1"/>
    <col min="7" max="7" width="10" style="46" customWidth="1"/>
    <col min="8" max="8" width="11.5703125" style="46" customWidth="1"/>
    <col min="9" max="9" width="11.42578125" style="46" customWidth="1"/>
    <col min="10" max="10" width="13.28515625" style="109" customWidth="1"/>
    <col min="11" max="11" width="15.7109375" style="46" customWidth="1"/>
    <col min="12" max="12" width="16" style="109" customWidth="1"/>
    <col min="13" max="13" width="16.28515625" style="109" customWidth="1"/>
    <col min="14" max="14" width="17" style="46" customWidth="1"/>
    <col min="15" max="16384" width="9.140625" style="46"/>
  </cols>
  <sheetData>
    <row r="1" spans="1:13">
      <c r="A1" s="47"/>
      <c r="B1" s="48"/>
      <c r="C1" s="48"/>
      <c r="D1" s="48"/>
      <c r="E1" s="48"/>
      <c r="F1" s="48"/>
      <c r="G1" s="48"/>
      <c r="H1" s="48"/>
      <c r="I1" s="48"/>
      <c r="J1" s="169" t="s">
        <v>81</v>
      </c>
    </row>
    <row r="2" spans="1:13">
      <c r="A2" s="389" t="s">
        <v>80</v>
      </c>
      <c r="B2" s="390"/>
      <c r="C2" s="390"/>
      <c r="D2" s="390"/>
      <c r="E2" s="390"/>
      <c r="F2" s="390"/>
      <c r="G2" s="390"/>
      <c r="H2" s="390"/>
      <c r="I2" s="390"/>
      <c r="J2" s="391"/>
    </row>
    <row r="3" spans="1:13">
      <c r="A3" s="389" t="s">
        <v>216</v>
      </c>
      <c r="B3" s="390"/>
      <c r="C3" s="390"/>
      <c r="D3" s="390"/>
      <c r="E3" s="390"/>
      <c r="F3" s="390"/>
      <c r="G3" s="390"/>
      <c r="H3" s="390"/>
      <c r="I3" s="390"/>
      <c r="J3" s="391"/>
    </row>
    <row r="4" spans="1:13">
      <c r="A4" s="389"/>
      <c r="B4" s="390"/>
      <c r="C4" s="390"/>
      <c r="D4" s="390"/>
      <c r="E4" s="390"/>
      <c r="F4" s="390"/>
      <c r="G4" s="390"/>
      <c r="H4" s="390"/>
      <c r="I4" s="390"/>
      <c r="J4" s="391"/>
    </row>
    <row r="5" spans="1:13">
      <c r="A5" s="54" t="s">
        <v>77</v>
      </c>
      <c r="B5" s="223"/>
      <c r="C5" s="223"/>
      <c r="D5" s="223"/>
      <c r="E5" s="223"/>
      <c r="F5" s="223"/>
      <c r="G5" s="223"/>
      <c r="H5" s="223"/>
      <c r="I5" s="223"/>
      <c r="J5" s="170"/>
    </row>
    <row r="6" spans="1:13">
      <c r="A6" s="54" t="s">
        <v>76</v>
      </c>
      <c r="B6" s="55"/>
      <c r="C6" s="55"/>
      <c r="D6" s="55"/>
      <c r="E6" s="55"/>
      <c r="F6" s="55"/>
      <c r="G6" s="55"/>
      <c r="H6" s="55"/>
      <c r="I6" s="55"/>
      <c r="J6" s="171"/>
      <c r="K6" s="46" t="s">
        <v>210</v>
      </c>
    </row>
    <row r="7" spans="1:13">
      <c r="A7" s="47"/>
      <c r="B7" s="48"/>
      <c r="C7" s="48"/>
      <c r="D7" s="49"/>
      <c r="E7" s="88" t="s">
        <v>8</v>
      </c>
      <c r="F7" s="50"/>
      <c r="G7" s="52"/>
      <c r="H7" s="52"/>
      <c r="I7" s="53"/>
      <c r="J7" s="110"/>
    </row>
    <row r="8" spans="1:13">
      <c r="A8" s="54"/>
      <c r="B8" s="55"/>
      <c r="C8" s="55"/>
      <c r="D8" s="56"/>
      <c r="E8" s="222" t="s">
        <v>9</v>
      </c>
      <c r="F8" s="53"/>
      <c r="G8" s="59"/>
      <c r="H8" s="59"/>
      <c r="I8" s="58"/>
      <c r="J8" s="111"/>
    </row>
    <row r="9" spans="1:13">
      <c r="A9" s="61" t="s">
        <v>68</v>
      </c>
      <c r="B9" s="55"/>
      <c r="C9" s="55"/>
      <c r="D9" s="56"/>
      <c r="E9" s="222" t="s">
        <v>10</v>
      </c>
      <c r="F9" s="60" t="s">
        <v>12</v>
      </c>
      <c r="G9" s="60" t="s">
        <v>14</v>
      </c>
      <c r="H9" s="60" t="s">
        <v>20</v>
      </c>
      <c r="I9" s="60" t="s">
        <v>22</v>
      </c>
      <c r="J9" s="112" t="s">
        <v>24</v>
      </c>
    </row>
    <row r="10" spans="1:13">
      <c r="A10" s="54"/>
      <c r="B10" s="55"/>
      <c r="C10" s="55"/>
      <c r="D10" s="56"/>
      <c r="E10" s="222" t="s">
        <v>11</v>
      </c>
      <c r="F10" s="60" t="s">
        <v>13</v>
      </c>
      <c r="G10" s="59"/>
      <c r="H10" s="60" t="s">
        <v>21</v>
      </c>
      <c r="I10" s="60" t="s">
        <v>23</v>
      </c>
      <c r="J10" s="111"/>
    </row>
    <row r="11" spans="1:13">
      <c r="A11" s="62"/>
      <c r="B11" s="63"/>
      <c r="C11" s="63"/>
      <c r="D11" s="64"/>
      <c r="E11" s="65">
        <v>0.3</v>
      </c>
      <c r="F11" s="66">
        <v>0.7</v>
      </c>
      <c r="G11" s="59"/>
      <c r="H11" s="67"/>
      <c r="I11" s="68"/>
      <c r="J11" s="113"/>
    </row>
    <row r="12" spans="1:13" ht="18" customHeight="1">
      <c r="A12" s="70" t="s">
        <v>0</v>
      </c>
      <c r="B12" s="71"/>
      <c r="C12" s="71"/>
      <c r="D12" s="72"/>
      <c r="E12" s="51"/>
      <c r="F12" s="51"/>
      <c r="G12" s="51"/>
      <c r="H12" s="51"/>
      <c r="I12" s="51"/>
      <c r="J12" s="110"/>
      <c r="L12" s="118" t="s">
        <v>90</v>
      </c>
      <c r="M12" s="118" t="s">
        <v>89</v>
      </c>
    </row>
    <row r="13" spans="1:13" ht="18" customHeight="1">
      <c r="A13" s="73" t="s">
        <v>1</v>
      </c>
      <c r="B13" s="72"/>
      <c r="C13" s="72"/>
      <c r="D13" s="72"/>
      <c r="E13" s="94">
        <v>1773782.51</v>
      </c>
      <c r="F13" s="94">
        <v>4138825.85</v>
      </c>
      <c r="G13" s="94"/>
      <c r="H13" s="94"/>
      <c r="I13" s="94"/>
      <c r="J13" s="114">
        <f>SUM(E13:I13)</f>
        <v>5912608.3600000003</v>
      </c>
      <c r="K13" s="175" t="e">
        <f>SUM(J13+#REF!+#REF!+#REF!+#REF!+#REF!+#REF!+#REF!+#REF!+#REF!+#REF!+#REF!)</f>
        <v>#REF!</v>
      </c>
      <c r="L13" s="109">
        <v>21367644.399999999</v>
      </c>
      <c r="M13" s="109">
        <v>4171566.4</v>
      </c>
    </row>
    <row r="14" spans="1:13" ht="18" customHeight="1">
      <c r="A14" s="73" t="s">
        <v>2</v>
      </c>
      <c r="B14" s="72"/>
      <c r="C14" s="72"/>
      <c r="D14" s="72"/>
      <c r="E14" s="102"/>
      <c r="F14" s="284">
        <f>SUM(M30)</f>
        <v>11628950.24</v>
      </c>
      <c r="G14" s="102"/>
      <c r="H14" s="102"/>
      <c r="I14" s="102"/>
      <c r="J14" s="110">
        <f>SUM(E14:I14)</f>
        <v>11628950.24</v>
      </c>
      <c r="K14" s="117" t="s">
        <v>88</v>
      </c>
      <c r="L14" s="109">
        <v>9400000</v>
      </c>
      <c r="M14" s="109">
        <v>5637398.9699999997</v>
      </c>
    </row>
    <row r="15" spans="1:13" ht="18" customHeight="1">
      <c r="A15" s="75" t="s">
        <v>3</v>
      </c>
      <c r="B15" s="48"/>
      <c r="C15" s="48"/>
      <c r="D15" s="48"/>
      <c r="E15" s="102"/>
      <c r="F15" s="102"/>
      <c r="G15" s="102"/>
      <c r="H15" s="102"/>
      <c r="I15" s="102"/>
      <c r="J15" s="110"/>
      <c r="L15" s="116">
        <f>SUM(L13:L14)</f>
        <v>30767644.399999999</v>
      </c>
      <c r="M15" s="116">
        <f>SUM(M13:M14)</f>
        <v>9808965.3699999992</v>
      </c>
    </row>
    <row r="16" spans="1:13" ht="18" customHeight="1">
      <c r="A16" s="76" t="s">
        <v>78</v>
      </c>
      <c r="B16" s="55"/>
      <c r="C16" s="55"/>
      <c r="D16" s="55"/>
      <c r="E16" s="103">
        <v>9270133.1999999993</v>
      </c>
      <c r="F16" s="103">
        <v>10397897.630000001</v>
      </c>
      <c r="G16" s="103"/>
      <c r="H16" s="103"/>
      <c r="I16" s="103"/>
      <c r="J16" s="113">
        <f>SUM(E16:I16)</f>
        <v>19668030.829999998</v>
      </c>
      <c r="K16" s="46">
        <v>11930281.960000001</v>
      </c>
    </row>
    <row r="17" spans="1:14" ht="18" customHeight="1">
      <c r="A17" s="77" t="s">
        <v>79</v>
      </c>
      <c r="B17" s="72"/>
      <c r="C17" s="72"/>
      <c r="D17" s="72"/>
      <c r="E17" s="94"/>
      <c r="F17" s="94"/>
      <c r="G17" s="94"/>
      <c r="H17" s="94"/>
      <c r="I17" s="94"/>
      <c r="J17" s="113">
        <f>SUM(E17:I17)</f>
        <v>0</v>
      </c>
      <c r="K17" s="173">
        <f>K16-J16</f>
        <v>-7737748.8699999973</v>
      </c>
      <c r="M17" s="109">
        <v>25936573.030000001</v>
      </c>
    </row>
    <row r="18" spans="1:14" ht="18" customHeight="1">
      <c r="A18" s="70" t="s">
        <v>7</v>
      </c>
      <c r="B18" s="72"/>
      <c r="C18" s="72"/>
      <c r="D18" s="72"/>
      <c r="E18" s="119">
        <f>SUM(E13:E17)</f>
        <v>11043915.709999999</v>
      </c>
      <c r="F18" s="119">
        <f t="shared" ref="F18:J18" si="0">SUM(F13:F17)</f>
        <v>26165673.719999999</v>
      </c>
      <c r="G18" s="119">
        <f t="shared" si="0"/>
        <v>0</v>
      </c>
      <c r="H18" s="119">
        <f t="shared" si="0"/>
        <v>0</v>
      </c>
      <c r="I18" s="119">
        <f t="shared" si="0"/>
        <v>0</v>
      </c>
      <c r="J18" s="119">
        <f t="shared" si="0"/>
        <v>37209589.43</v>
      </c>
      <c r="K18" s="166">
        <f t="shared" ref="K18:K44" si="1">SUM(E18:I18)</f>
        <v>37209589.43</v>
      </c>
      <c r="L18" s="193" t="s">
        <v>171</v>
      </c>
      <c r="M18" s="254">
        <v>118252167.39</v>
      </c>
    </row>
    <row r="19" spans="1:14" s="109" customFormat="1" ht="18" customHeight="1">
      <c r="A19" s="74" t="s">
        <v>99</v>
      </c>
      <c r="B19" s="72" t="s">
        <v>100</v>
      </c>
      <c r="C19" s="72"/>
      <c r="D19" s="72"/>
      <c r="E19" s="94"/>
      <c r="F19" s="94"/>
      <c r="G19" s="94">
        <f>SUM('DRRM Funds Nov 2014  '!G42)</f>
        <v>0</v>
      </c>
      <c r="H19" s="94"/>
      <c r="I19" s="94">
        <f>SUM('DRRM Funds Nov 2014  '!I42)</f>
        <v>0</v>
      </c>
      <c r="J19" s="94"/>
      <c r="K19" s="166">
        <f t="shared" si="1"/>
        <v>0</v>
      </c>
      <c r="L19" s="194">
        <v>0.05</v>
      </c>
      <c r="M19" s="224">
        <f>M18*0.05</f>
        <v>5912608.3695</v>
      </c>
    </row>
    <row r="20" spans="1:14" s="109" customFormat="1" ht="18" customHeight="1">
      <c r="A20" s="70" t="s">
        <v>101</v>
      </c>
      <c r="B20" s="122"/>
      <c r="C20" s="72"/>
      <c r="D20" s="72"/>
      <c r="E20" s="119">
        <f>SUM(E18:E19)</f>
        <v>11043915.709999999</v>
      </c>
      <c r="F20" s="119">
        <f t="shared" ref="F20:J20" si="2">SUM(F18:F19)</f>
        <v>26165673.719999999</v>
      </c>
      <c r="G20" s="119">
        <f t="shared" si="2"/>
        <v>0</v>
      </c>
      <c r="H20" s="119">
        <f t="shared" si="2"/>
        <v>0</v>
      </c>
      <c r="I20" s="119">
        <f t="shared" si="2"/>
        <v>0</v>
      </c>
      <c r="J20" s="119">
        <f t="shared" si="2"/>
        <v>37209589.43</v>
      </c>
      <c r="K20" s="166">
        <f t="shared" si="1"/>
        <v>37209589.43</v>
      </c>
    </row>
    <row r="21" spans="1:14" ht="18" customHeight="1">
      <c r="A21" s="70" t="s">
        <v>15</v>
      </c>
      <c r="B21" s="72"/>
      <c r="C21" s="72"/>
      <c r="D21" s="72"/>
      <c r="E21" s="94"/>
      <c r="F21" s="94"/>
      <c r="G21" s="94"/>
      <c r="H21" s="94"/>
      <c r="I21" s="94"/>
      <c r="J21" s="114"/>
      <c r="K21" s="166">
        <f t="shared" si="1"/>
        <v>0</v>
      </c>
      <c r="M21" s="109">
        <v>26972032.48</v>
      </c>
    </row>
    <row r="22" spans="1:14" ht="18" customHeight="1">
      <c r="A22" s="78" t="s">
        <v>206</v>
      </c>
      <c r="B22" s="72"/>
      <c r="C22" s="72"/>
      <c r="D22" s="72"/>
      <c r="E22" s="94"/>
      <c r="F22" s="94"/>
      <c r="G22" s="94"/>
      <c r="H22" s="94"/>
      <c r="I22" s="94"/>
      <c r="J22" s="114">
        <f>SUM(E22:I22)</f>
        <v>0</v>
      </c>
      <c r="K22" s="166"/>
    </row>
    <row r="23" spans="1:14" ht="18" customHeight="1">
      <c r="A23" s="402" t="s">
        <v>220</v>
      </c>
      <c r="B23" s="403"/>
      <c r="C23" s="403"/>
      <c r="D23" s="404"/>
      <c r="E23" s="94"/>
      <c r="F23" s="94"/>
      <c r="G23" s="94"/>
      <c r="H23" s="94"/>
      <c r="I23" s="94"/>
      <c r="J23" s="114">
        <f t="shared" ref="J23:J24" si="3">SUM(E23:I23)</f>
        <v>0</v>
      </c>
      <c r="K23" s="166"/>
      <c r="M23" s="232" t="s">
        <v>236</v>
      </c>
    </row>
    <row r="24" spans="1:14" ht="18" customHeight="1">
      <c r="A24" s="78" t="s">
        <v>16</v>
      </c>
      <c r="B24" s="72"/>
      <c r="C24" s="72"/>
      <c r="D24" s="72"/>
      <c r="E24" s="94"/>
      <c r="F24" s="94"/>
      <c r="G24" s="94"/>
      <c r="H24" s="94"/>
      <c r="I24" s="94"/>
      <c r="J24" s="114">
        <f t="shared" si="3"/>
        <v>0</v>
      </c>
      <c r="K24" s="166">
        <f t="shared" si="1"/>
        <v>0</v>
      </c>
      <c r="L24" s="176">
        <f>518731460.56*0.05</f>
        <v>25936573.028000001</v>
      </c>
      <c r="M24" s="229">
        <v>125607.13</v>
      </c>
      <c r="N24" s="46" t="s">
        <v>230</v>
      </c>
    </row>
    <row r="25" spans="1:14" ht="18" customHeight="1">
      <c r="A25" s="78" t="s">
        <v>70</v>
      </c>
      <c r="B25" s="72"/>
      <c r="C25" s="72"/>
      <c r="D25" s="72"/>
      <c r="E25" s="94"/>
      <c r="F25" s="94"/>
      <c r="G25" s="94"/>
      <c r="H25" s="94"/>
      <c r="I25" s="94"/>
      <c r="J25" s="114">
        <f>SUM(E25:I25)</f>
        <v>0</v>
      </c>
      <c r="K25" s="166">
        <f t="shared" si="1"/>
        <v>0</v>
      </c>
      <c r="L25" s="109" t="e">
        <f>L24-K13</f>
        <v>#REF!</v>
      </c>
      <c r="M25" s="229">
        <v>510000</v>
      </c>
      <c r="N25" s="46" t="s">
        <v>232</v>
      </c>
    </row>
    <row r="26" spans="1:14" ht="18" customHeight="1">
      <c r="A26" s="78" t="s">
        <v>71</v>
      </c>
      <c r="B26" s="72"/>
      <c r="C26" s="72"/>
      <c r="D26" s="72"/>
      <c r="E26" s="94"/>
      <c r="F26" s="94"/>
      <c r="G26" s="94"/>
      <c r="H26" s="94"/>
      <c r="I26" s="94"/>
      <c r="J26" s="114">
        <f t="shared" ref="J26:J41" si="4">SUM(E26:I26)</f>
        <v>0</v>
      </c>
      <c r="K26" s="166">
        <f t="shared" si="1"/>
        <v>0</v>
      </c>
      <c r="M26" s="229">
        <v>1430000</v>
      </c>
      <c r="N26" s="46" t="s">
        <v>233</v>
      </c>
    </row>
    <row r="27" spans="1:14" ht="18" customHeight="1">
      <c r="A27" s="79" t="s">
        <v>91</v>
      </c>
      <c r="B27" s="72"/>
      <c r="C27" s="72"/>
      <c r="D27" s="72"/>
      <c r="E27" s="94"/>
      <c r="F27" s="94"/>
      <c r="G27" s="94"/>
      <c r="H27" s="94"/>
      <c r="I27" s="94"/>
      <c r="J27" s="114">
        <f t="shared" si="4"/>
        <v>0</v>
      </c>
      <c r="K27" s="166">
        <f t="shared" si="1"/>
        <v>0</v>
      </c>
      <c r="M27" s="229">
        <v>4285413.1100000003</v>
      </c>
      <c r="N27" s="46" t="s">
        <v>231</v>
      </c>
    </row>
    <row r="28" spans="1:14" ht="18" customHeight="1">
      <c r="A28" s="78" t="s">
        <v>17</v>
      </c>
      <c r="B28" s="72"/>
      <c r="C28" s="72"/>
      <c r="D28" s="72"/>
      <c r="E28" s="94"/>
      <c r="F28" s="94"/>
      <c r="G28" s="94"/>
      <c r="H28" s="94"/>
      <c r="I28" s="94"/>
      <c r="J28" s="114">
        <f t="shared" si="4"/>
        <v>0</v>
      </c>
      <c r="K28" s="166">
        <f t="shared" si="1"/>
        <v>0</v>
      </c>
      <c r="M28" s="229">
        <v>3777930</v>
      </c>
      <c r="N28" s="46" t="s">
        <v>234</v>
      </c>
    </row>
    <row r="29" spans="1:14" ht="18" customHeight="1">
      <c r="A29" s="78" t="s">
        <v>215</v>
      </c>
      <c r="B29" s="72"/>
      <c r="C29" s="72"/>
      <c r="D29" s="72"/>
      <c r="E29" s="94"/>
      <c r="F29" s="94"/>
      <c r="G29" s="94"/>
      <c r="H29" s="94"/>
      <c r="I29" s="94"/>
      <c r="J29" s="114">
        <f t="shared" si="4"/>
        <v>0</v>
      </c>
      <c r="K29" s="166">
        <f t="shared" si="1"/>
        <v>0</v>
      </c>
      <c r="L29" s="118" t="s">
        <v>162</v>
      </c>
      <c r="M29" s="230">
        <v>1500000</v>
      </c>
      <c r="N29" s="46" t="s">
        <v>235</v>
      </c>
    </row>
    <row r="30" spans="1:14" ht="18" customHeight="1">
      <c r="A30" s="78" t="s">
        <v>213</v>
      </c>
      <c r="B30" s="72"/>
      <c r="C30" s="72"/>
      <c r="D30" s="72"/>
      <c r="E30" s="94"/>
      <c r="F30" s="94"/>
      <c r="G30" s="94"/>
      <c r="H30" s="94"/>
      <c r="I30" s="94"/>
      <c r="J30" s="114">
        <f t="shared" si="4"/>
        <v>0</v>
      </c>
      <c r="K30" s="166"/>
      <c r="L30" s="118"/>
      <c r="M30" s="225">
        <f>SUM(M24:M29)</f>
        <v>11628950.24</v>
      </c>
    </row>
    <row r="31" spans="1:14" ht="18" customHeight="1">
      <c r="A31" s="78" t="s">
        <v>214</v>
      </c>
      <c r="B31" s="72"/>
      <c r="C31" s="72"/>
      <c r="D31" s="72"/>
      <c r="E31" s="94"/>
      <c r="F31" s="94"/>
      <c r="G31" s="94"/>
      <c r="H31" s="94"/>
      <c r="I31" s="94"/>
      <c r="J31" s="114">
        <f t="shared" si="4"/>
        <v>0</v>
      </c>
      <c r="K31" s="166"/>
      <c r="L31" s="118"/>
    </row>
    <row r="32" spans="1:14" ht="18" customHeight="1">
      <c r="A32" s="402" t="s">
        <v>221</v>
      </c>
      <c r="B32" s="403"/>
      <c r="C32" s="403"/>
      <c r="D32" s="404"/>
      <c r="E32" s="94"/>
      <c r="F32" s="94">
        <v>1327467.25</v>
      </c>
      <c r="G32" s="94"/>
      <c r="H32" s="94"/>
      <c r="I32" s="94"/>
      <c r="J32" s="114">
        <f t="shared" si="4"/>
        <v>1327467.25</v>
      </c>
      <c r="K32" s="166"/>
      <c r="L32" s="118"/>
    </row>
    <row r="33" spans="1:14" ht="18" customHeight="1">
      <c r="A33" s="78" t="s">
        <v>222</v>
      </c>
      <c r="B33" s="72"/>
      <c r="C33" s="72"/>
      <c r="D33" s="72"/>
      <c r="E33" s="94"/>
      <c r="F33" s="94"/>
      <c r="G33" s="94"/>
      <c r="H33" s="94"/>
      <c r="I33" s="94"/>
      <c r="J33" s="114">
        <f t="shared" si="4"/>
        <v>0</v>
      </c>
      <c r="K33" s="166">
        <f t="shared" si="1"/>
        <v>0</v>
      </c>
      <c r="L33" s="225">
        <f>SUM(F29:F33)</f>
        <v>1327467.25</v>
      </c>
      <c r="M33" s="109" t="s">
        <v>226</v>
      </c>
    </row>
    <row r="34" spans="1:14" ht="18" customHeight="1">
      <c r="A34" s="78" t="s">
        <v>223</v>
      </c>
      <c r="B34" s="72"/>
      <c r="C34" s="72"/>
      <c r="D34" s="72"/>
      <c r="E34" s="94"/>
      <c r="F34" s="94"/>
      <c r="G34" s="94"/>
      <c r="H34" s="94"/>
      <c r="I34" s="94"/>
      <c r="J34" s="114">
        <f t="shared" si="4"/>
        <v>0</v>
      </c>
      <c r="K34" s="166">
        <f t="shared" si="1"/>
        <v>0</v>
      </c>
      <c r="L34" s="109">
        <v>147060</v>
      </c>
    </row>
    <row r="35" spans="1:14" ht="18" customHeight="1">
      <c r="A35" s="78" t="s">
        <v>224</v>
      </c>
      <c r="B35" s="72"/>
      <c r="C35" s="72"/>
      <c r="D35" s="72"/>
      <c r="E35" s="94"/>
      <c r="F35" s="94"/>
      <c r="G35" s="94"/>
      <c r="H35" s="94"/>
      <c r="I35" s="94"/>
      <c r="J35" s="114">
        <f t="shared" si="4"/>
        <v>0</v>
      </c>
      <c r="K35" s="166">
        <f t="shared" si="1"/>
        <v>0</v>
      </c>
      <c r="N35" s="46" t="s">
        <v>284</v>
      </c>
    </row>
    <row r="36" spans="1:14" ht="18" customHeight="1">
      <c r="A36" s="78" t="s">
        <v>225</v>
      </c>
      <c r="B36" s="72"/>
      <c r="C36" s="72"/>
      <c r="D36" s="72"/>
      <c r="E36" s="94"/>
      <c r="F36" s="94"/>
      <c r="G36" s="94"/>
      <c r="H36" s="94"/>
      <c r="I36" s="94"/>
      <c r="J36" s="114"/>
      <c r="K36" s="166">
        <f t="shared" si="1"/>
        <v>0</v>
      </c>
      <c r="L36" s="109">
        <v>1555500</v>
      </c>
    </row>
    <row r="37" spans="1:14" ht="18" customHeight="1">
      <c r="A37" s="78"/>
      <c r="B37" s="72" t="s">
        <v>209</v>
      </c>
      <c r="C37" s="72"/>
      <c r="D37" s="72"/>
      <c r="E37" s="94"/>
      <c r="F37" s="94"/>
      <c r="G37" s="94"/>
      <c r="H37" s="94"/>
      <c r="I37" s="94"/>
      <c r="J37" s="114">
        <f t="shared" si="4"/>
        <v>0</v>
      </c>
      <c r="K37" s="166">
        <f t="shared" si="1"/>
        <v>0</v>
      </c>
      <c r="L37" s="109">
        <v>2209000</v>
      </c>
    </row>
    <row r="38" spans="1:14" ht="18" customHeight="1">
      <c r="A38" s="78" t="s">
        <v>75</v>
      </c>
      <c r="B38" s="72"/>
      <c r="C38" s="72"/>
      <c r="D38" s="72"/>
      <c r="E38" s="94"/>
      <c r="F38" s="94"/>
      <c r="G38" s="94"/>
      <c r="H38" s="94"/>
      <c r="I38" s="94"/>
      <c r="J38" s="114">
        <f t="shared" si="4"/>
        <v>0</v>
      </c>
      <c r="K38" s="166">
        <f t="shared" si="1"/>
        <v>0</v>
      </c>
      <c r="L38" s="109">
        <v>173800</v>
      </c>
    </row>
    <row r="39" spans="1:14" ht="18" customHeight="1">
      <c r="A39" s="79" t="s">
        <v>94</v>
      </c>
      <c r="B39" s="72"/>
      <c r="C39" s="72"/>
      <c r="D39" s="72"/>
      <c r="E39" s="94"/>
      <c r="F39" s="94"/>
      <c r="G39" s="94"/>
      <c r="H39" s="94"/>
      <c r="I39" s="94"/>
      <c r="J39" s="114">
        <f t="shared" si="4"/>
        <v>0</v>
      </c>
      <c r="K39" s="166">
        <f t="shared" si="1"/>
        <v>0</v>
      </c>
      <c r="L39" s="109">
        <v>177000</v>
      </c>
    </row>
    <row r="40" spans="1:14" ht="18" customHeight="1">
      <c r="A40" s="79" t="s">
        <v>95</v>
      </c>
      <c r="B40" s="72"/>
      <c r="C40" s="72"/>
      <c r="D40" s="72"/>
      <c r="E40" s="94"/>
      <c r="F40" s="94"/>
      <c r="G40" s="94"/>
      <c r="H40" s="94"/>
      <c r="I40" s="94"/>
      <c r="J40" s="114">
        <f t="shared" si="4"/>
        <v>0</v>
      </c>
      <c r="K40" s="166">
        <f t="shared" si="1"/>
        <v>0</v>
      </c>
      <c r="L40" s="109">
        <v>204055</v>
      </c>
    </row>
    <row r="41" spans="1:14" ht="18" customHeight="1">
      <c r="A41" s="78" t="s">
        <v>96</v>
      </c>
      <c r="B41" s="72"/>
      <c r="C41" s="72"/>
      <c r="D41" s="72"/>
      <c r="E41" s="94"/>
      <c r="F41" s="94"/>
      <c r="G41" s="94"/>
      <c r="H41" s="94"/>
      <c r="I41" s="94"/>
      <c r="J41" s="114">
        <f t="shared" si="4"/>
        <v>0</v>
      </c>
      <c r="K41" s="166">
        <f t="shared" si="1"/>
        <v>0</v>
      </c>
      <c r="L41" s="109">
        <v>71070</v>
      </c>
    </row>
    <row r="42" spans="1:14" ht="18" customHeight="1">
      <c r="A42" s="84" t="s">
        <v>92</v>
      </c>
      <c r="B42" s="63"/>
      <c r="C42" s="63"/>
      <c r="D42" s="63"/>
      <c r="E42" s="94">
        <f t="shared" ref="E42:J42" si="5">SUM(E22:E41)</f>
        <v>0</v>
      </c>
      <c r="F42" s="94">
        <f t="shared" si="5"/>
        <v>1327467.25</v>
      </c>
      <c r="G42" s="94">
        <f t="shared" si="5"/>
        <v>0</v>
      </c>
      <c r="H42" s="94">
        <f t="shared" si="5"/>
        <v>0</v>
      </c>
      <c r="I42" s="94">
        <f t="shared" si="5"/>
        <v>0</v>
      </c>
      <c r="J42" s="94">
        <f t="shared" si="5"/>
        <v>1327467.25</v>
      </c>
      <c r="K42" s="166">
        <f t="shared" si="1"/>
        <v>1327467.25</v>
      </c>
      <c r="L42" s="109">
        <v>27800</v>
      </c>
      <c r="M42" s="46"/>
    </row>
    <row r="43" spans="1:14" ht="18" customHeight="1">
      <c r="A43" s="84" t="s">
        <v>103</v>
      </c>
      <c r="B43" s="63"/>
      <c r="C43" s="63"/>
      <c r="D43" s="63"/>
      <c r="E43" s="103"/>
      <c r="F43" s="103"/>
      <c r="G43" s="103"/>
      <c r="H43" s="103">
        <f>SUM('DRRM Funds Nov 2014  '!H41)</f>
        <v>0</v>
      </c>
      <c r="I43" s="103">
        <f>SUM('DRRM Funds Nov 2014  '!I41)</f>
        <v>0</v>
      </c>
      <c r="J43" s="103">
        <v>0</v>
      </c>
      <c r="K43" s="166">
        <f t="shared" si="1"/>
        <v>0</v>
      </c>
      <c r="L43" s="109">
        <v>126865</v>
      </c>
      <c r="M43" s="109">
        <f>SUM(E43:H43)</f>
        <v>0</v>
      </c>
    </row>
    <row r="44" spans="1:14" ht="18" customHeight="1">
      <c r="A44" s="84" t="s">
        <v>104</v>
      </c>
      <c r="B44" s="63"/>
      <c r="C44" s="63"/>
      <c r="D44" s="63"/>
      <c r="E44" s="103">
        <f>SUM(E42:E43)</f>
        <v>0</v>
      </c>
      <c r="F44" s="103">
        <f>SUM(F42:F43)</f>
        <v>1327467.25</v>
      </c>
      <c r="G44" s="103">
        <f t="shared" ref="G44:J44" si="6">SUM(G42:G43)</f>
        <v>0</v>
      </c>
      <c r="H44" s="103">
        <f t="shared" si="6"/>
        <v>0</v>
      </c>
      <c r="I44" s="103">
        <f t="shared" si="6"/>
        <v>0</v>
      </c>
      <c r="J44" s="103">
        <f t="shared" si="6"/>
        <v>1327467.25</v>
      </c>
      <c r="K44" s="166">
        <f t="shared" si="1"/>
        <v>1327467.25</v>
      </c>
      <c r="L44" s="174">
        <f>SUM(L33:L43)</f>
        <v>6019617.25</v>
      </c>
      <c r="M44" s="109">
        <v>10492358.970000001</v>
      </c>
    </row>
    <row r="45" spans="1:14" ht="18" customHeight="1">
      <c r="A45" s="70" t="s">
        <v>93</v>
      </c>
      <c r="B45" s="72"/>
      <c r="C45" s="72"/>
      <c r="D45" s="80"/>
      <c r="E45" s="120">
        <f t="shared" ref="E45:J45" si="7">E20-E42</f>
        <v>11043915.709999999</v>
      </c>
      <c r="F45" s="120">
        <f t="shared" si="7"/>
        <v>24838206.469999999</v>
      </c>
      <c r="G45" s="120">
        <f t="shared" si="7"/>
        <v>0</v>
      </c>
      <c r="H45" s="120">
        <f t="shared" si="7"/>
        <v>0</v>
      </c>
      <c r="I45" s="120">
        <f t="shared" si="7"/>
        <v>0</v>
      </c>
      <c r="J45" s="120">
        <f t="shared" si="7"/>
        <v>35882122.18</v>
      </c>
      <c r="K45" s="166">
        <f>SUM(E45:I45)</f>
        <v>35882122.18</v>
      </c>
      <c r="L45" s="46"/>
      <c r="M45" s="109">
        <f>M44-L44</f>
        <v>4472741.7200000007</v>
      </c>
    </row>
    <row r="46" spans="1:14" ht="18" customHeight="1">
      <c r="A46" s="55"/>
      <c r="B46" s="55"/>
      <c r="C46" s="55"/>
      <c r="D46" s="55"/>
      <c r="E46" s="55" t="s">
        <v>219</v>
      </c>
      <c r="F46" s="55"/>
      <c r="G46" s="55"/>
      <c r="H46" s="55"/>
      <c r="I46" s="55"/>
      <c r="J46" s="115" t="s">
        <v>74</v>
      </c>
      <c r="K46" s="92">
        <f>SUM(E45:F45)</f>
        <v>35882122.18</v>
      </c>
      <c r="M46" s="109">
        <v>0</v>
      </c>
    </row>
    <row r="47" spans="1:14" ht="18" customHeight="1">
      <c r="A47" s="55"/>
      <c r="B47" s="55"/>
      <c r="C47" s="55"/>
      <c r="D47" s="55"/>
      <c r="E47" s="55"/>
      <c r="F47" s="55"/>
      <c r="G47" s="55"/>
      <c r="H47" s="55"/>
      <c r="I47" s="55"/>
      <c r="J47" s="115"/>
      <c r="K47" s="92">
        <f>SUM(E44:F44)</f>
        <v>1327467.25</v>
      </c>
      <c r="M47" s="109">
        <f>SUM(M45:M46)</f>
        <v>4472741.7200000007</v>
      </c>
      <c r="N47" s="173">
        <f>SUM(L44+M47)</f>
        <v>10492358.970000001</v>
      </c>
    </row>
    <row r="48" spans="1:14">
      <c r="A48" s="55" t="s">
        <v>83</v>
      </c>
      <c r="B48" s="55"/>
      <c r="C48" s="55"/>
      <c r="D48" s="55"/>
      <c r="E48" s="55"/>
      <c r="F48" s="55"/>
      <c r="G48" s="55"/>
      <c r="H48" s="55" t="s">
        <v>29</v>
      </c>
      <c r="I48" s="55"/>
      <c r="J48" s="115"/>
      <c r="K48" s="55"/>
      <c r="L48" s="109">
        <v>752760</v>
      </c>
    </row>
    <row r="49" spans="1:13">
      <c r="A49" s="55"/>
      <c r="B49" s="55"/>
      <c r="C49" s="55"/>
      <c r="D49" s="55"/>
      <c r="E49" s="55"/>
      <c r="F49" s="55"/>
      <c r="G49" s="55"/>
      <c r="H49" s="55"/>
      <c r="I49" s="55"/>
      <c r="J49" s="115"/>
      <c r="K49" s="55"/>
      <c r="L49" s="109">
        <v>902075</v>
      </c>
    </row>
    <row r="50" spans="1:13">
      <c r="A50" s="55"/>
      <c r="B50" s="55"/>
      <c r="C50" s="55"/>
      <c r="D50" s="55"/>
      <c r="E50" s="55"/>
      <c r="F50" s="55"/>
      <c r="G50" s="55"/>
      <c r="H50" s="172"/>
      <c r="I50" s="55"/>
      <c r="J50" s="115"/>
      <c r="K50" s="55"/>
      <c r="L50" s="109">
        <v>1032329.7</v>
      </c>
      <c r="M50" s="109">
        <v>1897753.11</v>
      </c>
    </row>
    <row r="51" spans="1:13">
      <c r="A51" s="55" t="s">
        <v>202</v>
      </c>
      <c r="B51" s="55"/>
      <c r="C51" s="55"/>
      <c r="D51" s="55"/>
      <c r="E51" s="55"/>
      <c r="F51" s="55"/>
      <c r="G51" s="55"/>
      <c r="H51" s="140" t="s">
        <v>194</v>
      </c>
      <c r="I51" s="55"/>
      <c r="J51" s="115"/>
      <c r="K51" s="55"/>
      <c r="L51" s="109">
        <v>504234.65</v>
      </c>
      <c r="M51" s="109">
        <v>8736531.7100000009</v>
      </c>
    </row>
    <row r="52" spans="1:13">
      <c r="A52" s="140" t="s">
        <v>203</v>
      </c>
      <c r="B52" s="55"/>
      <c r="C52" s="55"/>
      <c r="D52" s="55"/>
      <c r="E52" s="55"/>
      <c r="F52" s="55"/>
      <c r="G52" s="55"/>
      <c r="H52" s="140" t="s">
        <v>195</v>
      </c>
      <c r="I52" s="55"/>
      <c r="J52" s="115"/>
      <c r="K52" s="55"/>
      <c r="L52" s="109">
        <v>899145</v>
      </c>
      <c r="M52" s="109">
        <v>10140</v>
      </c>
    </row>
    <row r="53" spans="1:13">
      <c r="A53" s="55"/>
      <c r="B53" s="55"/>
      <c r="C53" s="55"/>
      <c r="D53" s="55"/>
      <c r="E53" s="121"/>
      <c r="F53" s="55"/>
      <c r="G53" s="55"/>
      <c r="H53" s="55"/>
      <c r="I53" s="55"/>
      <c r="J53" s="115"/>
      <c r="K53" s="55"/>
      <c r="L53" s="109">
        <v>1087927.3999999999</v>
      </c>
      <c r="M53" s="109">
        <f>SUM(M50:M52)</f>
        <v>10644424.82</v>
      </c>
    </row>
    <row r="54" spans="1:13">
      <c r="A54" s="55"/>
      <c r="B54" s="55"/>
      <c r="C54" s="55"/>
      <c r="D54" s="55"/>
      <c r="E54" s="115"/>
      <c r="F54" s="55"/>
      <c r="G54" s="55"/>
      <c r="H54" s="55"/>
      <c r="I54" s="115"/>
      <c r="J54" s="115"/>
      <c r="K54" s="55"/>
      <c r="L54" s="109">
        <v>2896515.5</v>
      </c>
    </row>
    <row r="55" spans="1:13">
      <c r="I55" s="109"/>
      <c r="M55" s="46"/>
    </row>
    <row r="56" spans="1:13">
      <c r="F56" s="121"/>
      <c r="I56" s="109"/>
      <c r="K56" s="55"/>
      <c r="L56" s="115">
        <v>630000</v>
      </c>
      <c r="M56" s="183">
        <v>10644424.82</v>
      </c>
    </row>
    <row r="57" spans="1:13">
      <c r="F57" s="115"/>
      <c r="I57" s="109"/>
      <c r="J57" s="109">
        <v>7850000</v>
      </c>
      <c r="L57" s="109">
        <v>1000000</v>
      </c>
      <c r="M57" s="183">
        <v>13157941.960000001</v>
      </c>
    </row>
    <row r="58" spans="1:13">
      <c r="I58" s="109"/>
      <c r="J58" s="109">
        <v>800000</v>
      </c>
      <c r="L58" s="109">
        <v>1300000</v>
      </c>
      <c r="M58" s="184">
        <v>0</v>
      </c>
    </row>
    <row r="59" spans="1:13">
      <c r="I59" s="109"/>
      <c r="J59" s="109">
        <v>1200000</v>
      </c>
      <c r="L59" s="109">
        <v>2000000</v>
      </c>
      <c r="M59" s="183">
        <f>SUM(M56:M58)</f>
        <v>23802366.780000001</v>
      </c>
    </row>
    <row r="60" spans="1:13">
      <c r="I60" s="109"/>
      <c r="J60" s="109">
        <v>3500000</v>
      </c>
      <c r="L60" s="109">
        <v>150000</v>
      </c>
      <c r="M60" s="183">
        <v>24092226.780000001</v>
      </c>
    </row>
    <row r="61" spans="1:13">
      <c r="I61" s="109">
        <v>100000</v>
      </c>
      <c r="J61" s="116">
        <f>SUM(J57:J60)</f>
        <v>13350000</v>
      </c>
      <c r="L61" s="109">
        <v>4590281.96</v>
      </c>
      <c r="M61" s="183">
        <f>M60-M59</f>
        <v>289860</v>
      </c>
    </row>
    <row r="62" spans="1:13">
      <c r="I62" s="109">
        <v>4589687.1100000003</v>
      </c>
      <c r="J62" s="109">
        <v>16829861.079999998</v>
      </c>
      <c r="L62" s="109">
        <f>SUM(L56:L61)</f>
        <v>9670281.9600000009</v>
      </c>
      <c r="M62" s="46"/>
    </row>
    <row r="63" spans="1:13">
      <c r="I63" s="116">
        <f>SUM(I57:I62)</f>
        <v>4689687.1100000003</v>
      </c>
      <c r="J63" s="109">
        <f>J61-J62</f>
        <v>-3479861.0799999982</v>
      </c>
      <c r="M63" s="109">
        <v>24416573.030000001</v>
      </c>
    </row>
    <row r="64" spans="1:13">
      <c r="I64" s="109">
        <v>7212797.6100000003</v>
      </c>
      <c r="M64" s="109">
        <v>24708913.030000001</v>
      </c>
    </row>
    <row r="65" spans="1:13">
      <c r="I65" s="109">
        <f>I63-I64</f>
        <v>-2523110.5</v>
      </c>
      <c r="M65" s="109">
        <f>M63-M64</f>
        <v>-292340</v>
      </c>
    </row>
    <row r="66" spans="1:13">
      <c r="I66" s="109"/>
      <c r="M66" s="109">
        <v>289860</v>
      </c>
    </row>
    <row r="67" spans="1:13">
      <c r="I67" s="109"/>
      <c r="J67" s="109">
        <v>25346381.800000001</v>
      </c>
      <c r="M67" s="173">
        <f>SUM(M65:M66)</f>
        <v>-2480</v>
      </c>
    </row>
    <row r="68" spans="1:13">
      <c r="I68" s="109"/>
      <c r="J68" s="109">
        <v>24042658.690000001</v>
      </c>
      <c r="M68" s="46"/>
    </row>
    <row r="69" spans="1:13">
      <c r="I69" s="109"/>
      <c r="J69" s="109">
        <f>J67-J68</f>
        <v>1303723.1099999994</v>
      </c>
      <c r="L69" s="109">
        <v>400000</v>
      </c>
      <c r="M69" s="46"/>
    </row>
    <row r="70" spans="1:13">
      <c r="I70" s="109"/>
      <c r="L70" s="109">
        <v>1000000</v>
      </c>
      <c r="M70" s="109">
        <v>25279.7</v>
      </c>
    </row>
    <row r="71" spans="1:13">
      <c r="I71" s="109"/>
      <c r="M71" s="109">
        <v>27759.7</v>
      </c>
    </row>
    <row r="72" spans="1:13">
      <c r="H72" s="109"/>
      <c r="I72" s="109"/>
      <c r="M72" s="173">
        <f>M70-M71</f>
        <v>-2480</v>
      </c>
    </row>
    <row r="73" spans="1:13">
      <c r="H73" s="109">
        <v>4455551.57</v>
      </c>
      <c r="I73" s="109"/>
      <c r="J73" s="109">
        <v>17496381.800000001</v>
      </c>
      <c r="M73" s="46"/>
    </row>
    <row r="74" spans="1:13">
      <c r="H74" s="109">
        <v>5760963.6399999997</v>
      </c>
      <c r="I74" s="109"/>
      <c r="J74" s="109">
        <v>7850000</v>
      </c>
      <c r="M74" s="46"/>
    </row>
    <row r="75" spans="1:13">
      <c r="H75" s="109">
        <f>SUM(H73:H74)</f>
        <v>10216515.210000001</v>
      </c>
      <c r="I75" s="109"/>
      <c r="J75" s="109">
        <f>SUM(J73:J74)</f>
        <v>25346381.800000001</v>
      </c>
      <c r="M75" s="46"/>
    </row>
    <row r="76" spans="1:13" s="109" customFormat="1">
      <c r="A76" s="46"/>
      <c r="B76" s="46"/>
      <c r="C76" s="46"/>
      <c r="D76" s="46"/>
      <c r="E76" s="46"/>
      <c r="F76" s="46"/>
      <c r="G76" s="46"/>
    </row>
    <row r="77" spans="1:13" s="109" customFormat="1">
      <c r="A77" s="46"/>
      <c r="B77" s="46"/>
      <c r="C77" s="46"/>
      <c r="D77" s="46"/>
      <c r="E77" s="46"/>
      <c r="F77" s="46"/>
      <c r="G77" s="46"/>
    </row>
    <row r="78" spans="1:13" s="109" customFormat="1">
      <c r="A78" s="46"/>
      <c r="B78" s="46"/>
      <c r="C78" s="46"/>
      <c r="D78" s="46"/>
      <c r="E78" s="46"/>
      <c r="F78" s="46"/>
      <c r="G78" s="46"/>
    </row>
    <row r="79" spans="1:13" s="109" customFormat="1">
      <c r="A79" s="46"/>
      <c r="B79" s="46"/>
      <c r="C79" s="46"/>
      <c r="D79" s="46"/>
      <c r="E79" s="46"/>
      <c r="F79" s="46"/>
      <c r="G79" s="46"/>
    </row>
    <row r="80" spans="1:13" s="109" customFormat="1">
      <c r="A80" s="46"/>
      <c r="B80" s="46"/>
      <c r="C80" s="46"/>
      <c r="D80" s="46"/>
      <c r="E80" s="46"/>
      <c r="F80" s="46"/>
      <c r="G80" s="46"/>
    </row>
    <row r="81" spans="1:11" s="109" customFormat="1">
      <c r="A81" s="46"/>
      <c r="B81" s="46"/>
      <c r="C81" s="46"/>
      <c r="D81" s="46"/>
      <c r="E81" s="46"/>
      <c r="F81" s="46"/>
      <c r="G81" s="46"/>
    </row>
    <row r="82" spans="1:11" s="109" customFormat="1">
      <c r="A82" s="46"/>
      <c r="B82" s="46"/>
      <c r="C82" s="46"/>
      <c r="D82" s="46"/>
      <c r="E82" s="46"/>
      <c r="F82" s="46"/>
      <c r="G82" s="46"/>
      <c r="H82" s="46"/>
    </row>
    <row r="83" spans="1:11" s="109" customFormat="1">
      <c r="A83" s="46"/>
      <c r="B83" s="46"/>
      <c r="C83" s="46"/>
      <c r="D83" s="46"/>
      <c r="E83" s="46"/>
      <c r="F83" s="46"/>
      <c r="G83" s="46"/>
      <c r="H83" s="46"/>
    </row>
    <row r="84" spans="1:11" s="109" customFormat="1">
      <c r="A84" s="46"/>
      <c r="B84" s="46"/>
      <c r="C84" s="46"/>
      <c r="D84" s="46"/>
      <c r="E84" s="46"/>
      <c r="F84" s="46"/>
      <c r="G84" s="46"/>
      <c r="H84" s="46"/>
    </row>
    <row r="85" spans="1:11" s="109" customFormat="1">
      <c r="A85" s="46"/>
      <c r="B85" s="46"/>
      <c r="C85" s="46"/>
      <c r="D85" s="46"/>
      <c r="E85" s="46"/>
      <c r="F85" s="46"/>
      <c r="G85" s="46"/>
      <c r="H85" s="46"/>
    </row>
    <row r="86" spans="1:11" s="109" customFormat="1">
      <c r="A86" s="46"/>
      <c r="B86" s="46"/>
      <c r="C86" s="46"/>
      <c r="D86" s="46"/>
      <c r="E86" s="46"/>
      <c r="F86" s="46"/>
      <c r="G86" s="46"/>
      <c r="H86" s="46"/>
      <c r="K86" s="46"/>
    </row>
    <row r="87" spans="1:11" s="109" customFormat="1">
      <c r="A87" s="46"/>
      <c r="B87" s="46"/>
      <c r="C87" s="46"/>
      <c r="D87" s="46"/>
      <c r="E87" s="46"/>
      <c r="F87" s="46"/>
      <c r="G87" s="46"/>
      <c r="H87" s="46"/>
      <c r="K87" s="46"/>
    </row>
    <row r="88" spans="1:11" s="109" customFormat="1">
      <c r="A88" s="46"/>
      <c r="B88" s="46"/>
      <c r="C88" s="46"/>
      <c r="D88" s="46"/>
      <c r="E88" s="46"/>
      <c r="F88" s="46"/>
      <c r="G88" s="46"/>
      <c r="H88" s="46"/>
      <c r="K88" s="46"/>
    </row>
    <row r="89" spans="1:11" s="109" customFormat="1">
      <c r="A89" s="46"/>
      <c r="B89" s="46"/>
      <c r="C89" s="46"/>
      <c r="D89" s="46"/>
      <c r="E89" s="46"/>
      <c r="F89" s="46"/>
      <c r="G89" s="46"/>
      <c r="H89" s="46"/>
      <c r="K89" s="46"/>
    </row>
    <row r="90" spans="1:11" s="109" customFormat="1">
      <c r="A90" s="46"/>
      <c r="B90" s="46"/>
      <c r="C90" s="46"/>
      <c r="D90" s="46"/>
      <c r="E90" s="46"/>
      <c r="F90" s="46"/>
      <c r="G90" s="46"/>
      <c r="H90" s="46"/>
      <c r="K90" s="46"/>
    </row>
    <row r="91" spans="1:11" s="109" customFormat="1">
      <c r="A91" s="46"/>
      <c r="B91" s="46"/>
      <c r="C91" s="46"/>
      <c r="D91" s="46"/>
      <c r="E91" s="46"/>
      <c r="F91" s="46"/>
      <c r="G91" s="46"/>
      <c r="H91" s="46"/>
      <c r="K91" s="46"/>
    </row>
    <row r="92" spans="1:11" s="109" customFormat="1">
      <c r="A92" s="46"/>
      <c r="B92" s="46"/>
      <c r="C92" s="46"/>
      <c r="D92" s="46"/>
      <c r="E92" s="46"/>
      <c r="F92" s="46"/>
      <c r="G92" s="46"/>
      <c r="H92" s="46"/>
      <c r="K92" s="46"/>
    </row>
    <row r="93" spans="1:11" s="109" customFormat="1">
      <c r="A93" s="46"/>
      <c r="B93" s="46"/>
      <c r="C93" s="46"/>
      <c r="D93" s="46"/>
      <c r="E93" s="46"/>
      <c r="F93" s="46"/>
      <c r="G93" s="46"/>
      <c r="H93" s="46"/>
      <c r="K93" s="46"/>
    </row>
    <row r="94" spans="1:11" s="109" customFormat="1">
      <c r="A94" s="46"/>
      <c r="B94" s="46"/>
      <c r="C94" s="46"/>
      <c r="D94" s="46"/>
      <c r="E94" s="46"/>
      <c r="F94" s="46"/>
      <c r="G94" s="46"/>
      <c r="H94" s="46"/>
      <c r="K94" s="46"/>
    </row>
    <row r="95" spans="1:11" s="109" customFormat="1">
      <c r="A95" s="46"/>
      <c r="B95" s="46"/>
      <c r="C95" s="46"/>
      <c r="D95" s="46"/>
      <c r="E95" s="46"/>
      <c r="F95" s="46"/>
      <c r="G95" s="46"/>
      <c r="H95" s="46"/>
      <c r="K95" s="46"/>
    </row>
    <row r="96" spans="1:11" s="109" customFormat="1">
      <c r="A96" s="46"/>
      <c r="B96" s="46"/>
      <c r="C96" s="46"/>
      <c r="D96" s="46"/>
      <c r="E96" s="46"/>
      <c r="F96" s="46"/>
      <c r="G96" s="46"/>
      <c r="H96" s="46"/>
      <c r="K96" s="46"/>
    </row>
    <row r="97" spans="1:11" s="109" customFormat="1">
      <c r="A97" s="46"/>
      <c r="B97" s="46"/>
      <c r="C97" s="46"/>
      <c r="D97" s="46"/>
      <c r="E97" s="46"/>
      <c r="F97" s="46"/>
      <c r="G97" s="46"/>
      <c r="H97" s="46"/>
      <c r="K97" s="46"/>
    </row>
    <row r="98" spans="1:11" s="109" customFormat="1">
      <c r="A98" s="46"/>
      <c r="B98" s="46"/>
      <c r="C98" s="46"/>
      <c r="D98" s="46"/>
      <c r="E98" s="46"/>
      <c r="F98" s="46"/>
      <c r="G98" s="46"/>
      <c r="H98" s="46"/>
      <c r="K98" s="46"/>
    </row>
  </sheetData>
  <mergeCells count="5">
    <mergeCell ref="A2:J2"/>
    <mergeCell ref="A3:J3"/>
    <mergeCell ref="A4:J4"/>
    <mergeCell ref="A23:D23"/>
    <mergeCell ref="A32:D32"/>
  </mergeCells>
  <printOptions horizontalCentered="1"/>
  <pageMargins left="0.02" right="0.15" top="0.39" bottom="0.1" header="0.21" footer="0.1"/>
  <pageSetup scale="84" orientation="portrait" horizontalDpi="4294967293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N99"/>
  <sheetViews>
    <sheetView topLeftCell="A34" workbookViewId="0">
      <selection activeCell="F40" sqref="F40"/>
    </sheetView>
  </sheetViews>
  <sheetFormatPr defaultRowHeight="12.75"/>
  <cols>
    <col min="1" max="1" width="6" style="46" customWidth="1"/>
    <col min="2" max="3" width="9.140625" style="46"/>
    <col min="4" max="4" width="16.5703125" style="46" customWidth="1"/>
    <col min="5" max="6" width="13.85546875" style="46" customWidth="1"/>
    <col min="7" max="7" width="10" style="46" customWidth="1"/>
    <col min="8" max="8" width="11.5703125" style="46" customWidth="1"/>
    <col min="9" max="9" width="11.42578125" style="46" customWidth="1"/>
    <col min="10" max="10" width="13.28515625" style="109" customWidth="1"/>
    <col min="11" max="11" width="15.7109375" style="46" customWidth="1"/>
    <col min="12" max="12" width="16.85546875" style="109" customWidth="1"/>
    <col min="13" max="13" width="17" style="109" customWidth="1"/>
    <col min="14" max="14" width="17" style="46" customWidth="1"/>
    <col min="15" max="16384" width="9.140625" style="46"/>
  </cols>
  <sheetData>
    <row r="1" spans="1:13">
      <c r="A1" s="47"/>
      <c r="B1" s="48"/>
      <c r="C1" s="48"/>
      <c r="D1" s="48"/>
      <c r="E1" s="48"/>
      <c r="F1" s="48"/>
      <c r="G1" s="48"/>
      <c r="H1" s="48"/>
      <c r="I1" s="48"/>
      <c r="J1" s="169" t="s">
        <v>81</v>
      </c>
    </row>
    <row r="2" spans="1:13">
      <c r="A2" s="389" t="s">
        <v>80</v>
      </c>
      <c r="B2" s="390"/>
      <c r="C2" s="390"/>
      <c r="D2" s="390"/>
      <c r="E2" s="390"/>
      <c r="F2" s="390"/>
      <c r="G2" s="390"/>
      <c r="H2" s="390"/>
      <c r="I2" s="390"/>
      <c r="J2" s="391"/>
    </row>
    <row r="3" spans="1:13">
      <c r="A3" s="389" t="s">
        <v>334</v>
      </c>
      <c r="B3" s="390"/>
      <c r="C3" s="390"/>
      <c r="D3" s="390"/>
      <c r="E3" s="390"/>
      <c r="F3" s="390"/>
      <c r="G3" s="390"/>
      <c r="H3" s="390"/>
      <c r="I3" s="390"/>
      <c r="J3" s="391"/>
    </row>
    <row r="4" spans="1:13">
      <c r="A4" s="389"/>
      <c r="B4" s="390"/>
      <c r="C4" s="390"/>
      <c r="D4" s="390"/>
      <c r="E4" s="390"/>
      <c r="F4" s="390"/>
      <c r="G4" s="390"/>
      <c r="H4" s="390"/>
      <c r="I4" s="390"/>
      <c r="J4" s="391"/>
    </row>
    <row r="5" spans="1:13">
      <c r="A5" s="54" t="s">
        <v>77</v>
      </c>
      <c r="B5" s="367"/>
      <c r="C5" s="367"/>
      <c r="D5" s="367"/>
      <c r="E5" s="367"/>
      <c r="F5" s="367"/>
      <c r="G5" s="367"/>
      <c r="H5" s="367"/>
      <c r="I5" s="367"/>
      <c r="J5" s="170"/>
    </row>
    <row r="6" spans="1:13">
      <c r="A6" s="54" t="s">
        <v>76</v>
      </c>
      <c r="B6" s="55"/>
      <c r="C6" s="55"/>
      <c r="D6" s="55"/>
      <c r="E6" s="55"/>
      <c r="F6" s="55"/>
      <c r="G6" s="55"/>
      <c r="H6" s="55" t="s">
        <v>278</v>
      </c>
      <c r="I6" s="55"/>
      <c r="J6" s="171"/>
      <c r="K6" s="46" t="s">
        <v>210</v>
      </c>
    </row>
    <row r="7" spans="1:13">
      <c r="A7" s="47"/>
      <c r="B7" s="48"/>
      <c r="C7" s="48"/>
      <c r="D7" s="49"/>
      <c r="E7" s="88" t="s">
        <v>8</v>
      </c>
      <c r="F7" s="50"/>
      <c r="G7" s="52"/>
      <c r="H7" s="52"/>
      <c r="I7" s="53"/>
      <c r="J7" s="110"/>
    </row>
    <row r="8" spans="1:13">
      <c r="A8" s="54"/>
      <c r="B8" s="55"/>
      <c r="C8" s="55"/>
      <c r="D8" s="56"/>
      <c r="E8" s="366" t="s">
        <v>9</v>
      </c>
      <c r="F8" s="53"/>
      <c r="G8" s="59"/>
      <c r="H8" s="59"/>
      <c r="I8" s="58"/>
      <c r="J8" s="111"/>
    </row>
    <row r="9" spans="1:13">
      <c r="A9" s="61" t="s">
        <v>68</v>
      </c>
      <c r="B9" s="55"/>
      <c r="C9" s="55"/>
      <c r="D9" s="56"/>
      <c r="E9" s="366" t="s">
        <v>10</v>
      </c>
      <c r="F9" s="60" t="s">
        <v>12</v>
      </c>
      <c r="G9" s="60" t="s">
        <v>14</v>
      </c>
      <c r="H9" s="60" t="s">
        <v>20</v>
      </c>
      <c r="I9" s="60" t="s">
        <v>22</v>
      </c>
      <c r="J9" s="112" t="s">
        <v>24</v>
      </c>
    </row>
    <row r="10" spans="1:13">
      <c r="A10" s="54"/>
      <c r="B10" s="55"/>
      <c r="C10" s="55"/>
      <c r="D10" s="56"/>
      <c r="E10" s="366" t="s">
        <v>11</v>
      </c>
      <c r="F10" s="60" t="s">
        <v>13</v>
      </c>
      <c r="G10" s="59"/>
      <c r="H10" s="60" t="s">
        <v>21</v>
      </c>
      <c r="I10" s="60" t="s">
        <v>23</v>
      </c>
      <c r="J10" s="111"/>
    </row>
    <row r="11" spans="1:13">
      <c r="A11" s="62"/>
      <c r="B11" s="63"/>
      <c r="C11" s="63"/>
      <c r="D11" s="64"/>
      <c r="E11" s="65">
        <v>0.3</v>
      </c>
      <c r="F11" s="66">
        <v>0.7</v>
      </c>
      <c r="G11" s="59"/>
      <c r="H11" s="67"/>
      <c r="I11" s="68"/>
      <c r="J11" s="113"/>
    </row>
    <row r="12" spans="1:13" ht="18" customHeight="1">
      <c r="A12" s="70" t="s">
        <v>0</v>
      </c>
      <c r="B12" s="71"/>
      <c r="C12" s="71"/>
      <c r="D12" s="72"/>
      <c r="E12" s="51"/>
      <c r="F12" s="51"/>
      <c r="G12" s="51"/>
      <c r="H12" s="51"/>
      <c r="I12" s="51"/>
      <c r="J12" s="110"/>
      <c r="L12" s="365" t="s">
        <v>90</v>
      </c>
      <c r="M12" s="365" t="s">
        <v>89</v>
      </c>
    </row>
    <row r="13" spans="1:13" ht="18" customHeight="1">
      <c r="A13" s="73" t="s">
        <v>1</v>
      </c>
      <c r="B13" s="72"/>
      <c r="C13" s="72"/>
      <c r="D13" s="72"/>
      <c r="E13" s="94">
        <f>M19*0.3</f>
        <v>2886184.3322999999</v>
      </c>
      <c r="F13" s="94">
        <f>M19*0.7</f>
        <v>6734430.1086999997</v>
      </c>
      <c r="G13" s="94"/>
      <c r="H13" s="94"/>
      <c r="I13" s="94"/>
      <c r="J13" s="294">
        <f>SUM(E13:I13)</f>
        <v>9620614.4409999996</v>
      </c>
      <c r="K13" s="175"/>
      <c r="L13" s="109">
        <v>21367644.399999999</v>
      </c>
      <c r="M13" s="109">
        <v>4171566.4</v>
      </c>
    </row>
    <row r="14" spans="1:13" ht="18" customHeight="1">
      <c r="A14" s="73" t="s">
        <v>2</v>
      </c>
      <c r="B14" s="72"/>
      <c r="C14" s="72"/>
      <c r="D14" s="72"/>
      <c r="E14" s="102"/>
      <c r="F14" s="102">
        <v>16004565.890000001</v>
      </c>
      <c r="G14" s="102"/>
      <c r="H14" s="102"/>
      <c r="I14" s="102"/>
      <c r="J14" s="380">
        <f>SUM(E14:I14)</f>
        <v>16004565.890000001</v>
      </c>
      <c r="K14" s="117" t="s">
        <v>88</v>
      </c>
      <c r="L14" s="109">
        <v>9400000</v>
      </c>
      <c r="M14" s="109">
        <v>5637398.9699999997</v>
      </c>
    </row>
    <row r="15" spans="1:13" ht="18" customHeight="1">
      <c r="A15" s="75" t="s">
        <v>3</v>
      </c>
      <c r="B15" s="48"/>
      <c r="C15" s="48"/>
      <c r="D15" s="48"/>
      <c r="E15" s="102"/>
      <c r="F15" s="102"/>
      <c r="G15" s="102"/>
      <c r="H15" s="102"/>
      <c r="I15" s="102"/>
      <c r="J15" s="110"/>
      <c r="L15" s="116">
        <f>SUM(L13:L14)</f>
        <v>30767644.399999999</v>
      </c>
      <c r="M15" s="116">
        <f>SUM(M13:M14)</f>
        <v>9808965.3699999992</v>
      </c>
    </row>
    <row r="16" spans="1:13" ht="18" customHeight="1">
      <c r="A16" s="76" t="s">
        <v>78</v>
      </c>
      <c r="B16" s="55"/>
      <c r="C16" s="55"/>
      <c r="D16" s="55"/>
      <c r="E16" s="103">
        <v>31694098.140000001</v>
      </c>
      <c r="F16" s="103">
        <v>8650422.3699999992</v>
      </c>
      <c r="G16" s="103"/>
      <c r="H16" s="103"/>
      <c r="I16" s="103"/>
      <c r="J16" s="379">
        <f>E16+F16</f>
        <v>40344520.509999998</v>
      </c>
      <c r="K16" s="46">
        <v>11930281.960000001</v>
      </c>
    </row>
    <row r="17" spans="1:14" ht="18" customHeight="1">
      <c r="A17" s="77" t="s">
        <v>79</v>
      </c>
      <c r="B17" s="72"/>
      <c r="C17" s="72"/>
      <c r="D17" s="72"/>
      <c r="E17" s="94"/>
      <c r="F17" s="94"/>
      <c r="G17" s="94"/>
      <c r="H17" s="94"/>
      <c r="I17" s="94"/>
      <c r="J17" s="113">
        <f>SUM(E17:I17)</f>
        <v>0</v>
      </c>
      <c r="K17" s="173">
        <f>K16-J16</f>
        <v>-28414238.549999997</v>
      </c>
      <c r="M17" s="109">
        <v>25936573.030000001</v>
      </c>
    </row>
    <row r="18" spans="1:14" ht="18" customHeight="1">
      <c r="A18" s="70" t="s">
        <v>7</v>
      </c>
      <c r="B18" s="72"/>
      <c r="C18" s="72"/>
      <c r="D18" s="72"/>
      <c r="E18" s="119">
        <f>SUM(E13:E17)</f>
        <v>34580282.4723</v>
      </c>
      <c r="F18" s="119">
        <f t="shared" ref="F18:J18" si="0">SUM(F13:F17)</f>
        <v>31389418.368699998</v>
      </c>
      <c r="G18" s="119">
        <f t="shared" si="0"/>
        <v>0</v>
      </c>
      <c r="H18" s="119">
        <f t="shared" si="0"/>
        <v>0</v>
      </c>
      <c r="I18" s="119">
        <f t="shared" si="0"/>
        <v>0</v>
      </c>
      <c r="J18" s="305">
        <f t="shared" si="0"/>
        <v>65969700.840999998</v>
      </c>
      <c r="K18" s="166">
        <f t="shared" ref="K18:K45" si="1">SUM(E18:I18)</f>
        <v>65969700.840999998</v>
      </c>
      <c r="L18" s="193" t="s">
        <v>171</v>
      </c>
      <c r="M18" s="192">
        <v>192412288.81999999</v>
      </c>
    </row>
    <row r="19" spans="1:14" s="109" customFormat="1" ht="18" customHeight="1">
      <c r="A19" s="74" t="s">
        <v>99</v>
      </c>
      <c r="B19" s="72" t="s">
        <v>100</v>
      </c>
      <c r="C19" s="72"/>
      <c r="D19" s="72"/>
      <c r="E19" s="94"/>
      <c r="F19" s="94"/>
      <c r="G19" s="94"/>
      <c r="H19" s="94"/>
      <c r="I19" s="94"/>
      <c r="J19" s="94"/>
      <c r="K19" s="166">
        <f t="shared" si="1"/>
        <v>0</v>
      </c>
      <c r="L19" s="194">
        <v>0.05</v>
      </c>
      <c r="M19" s="269">
        <f>M18*0.05</f>
        <v>9620614.4409999996</v>
      </c>
    </row>
    <row r="20" spans="1:14" s="109" customFormat="1" ht="18" customHeight="1">
      <c r="A20" s="70" t="s">
        <v>101</v>
      </c>
      <c r="B20" s="122"/>
      <c r="C20" s="72"/>
      <c r="D20" s="72"/>
      <c r="E20" s="119">
        <f>SUM(E18:E19)</f>
        <v>34580282.4723</v>
      </c>
      <c r="F20" s="119">
        <f t="shared" ref="F20:J20" si="2">SUM(F18:F19)</f>
        <v>31389418.368699998</v>
      </c>
      <c r="G20" s="119">
        <f t="shared" si="2"/>
        <v>0</v>
      </c>
      <c r="H20" s="119">
        <f t="shared" si="2"/>
        <v>0</v>
      </c>
      <c r="I20" s="119">
        <f t="shared" si="2"/>
        <v>0</v>
      </c>
      <c r="J20" s="119">
        <f t="shared" si="2"/>
        <v>65969700.840999998</v>
      </c>
      <c r="K20" s="166">
        <f t="shared" si="1"/>
        <v>65969700.840999998</v>
      </c>
    </row>
    <row r="21" spans="1:14" ht="18" customHeight="1">
      <c r="A21" s="70" t="s">
        <v>15</v>
      </c>
      <c r="B21" s="72"/>
      <c r="C21" s="72"/>
      <c r="D21" s="72"/>
      <c r="E21" s="94"/>
      <c r="F21" s="94"/>
      <c r="G21" s="94"/>
      <c r="H21" s="94"/>
      <c r="I21" s="94"/>
      <c r="J21" s="114"/>
      <c r="K21" s="166">
        <f t="shared" si="1"/>
        <v>0</v>
      </c>
      <c r="M21" s="109">
        <v>26972032.48</v>
      </c>
    </row>
    <row r="22" spans="1:14" ht="18" customHeight="1">
      <c r="A22" s="77" t="s">
        <v>206</v>
      </c>
      <c r="B22" s="263"/>
      <c r="C22" s="263"/>
      <c r="D22" s="263"/>
      <c r="E22" s="94"/>
      <c r="F22" s="94"/>
      <c r="G22" s="94"/>
      <c r="H22" s="94"/>
      <c r="I22" s="94"/>
      <c r="J22" s="114">
        <f>SUM(E22:I22)</f>
        <v>0</v>
      </c>
      <c r="K22" s="166"/>
    </row>
    <row r="23" spans="1:14" ht="18" customHeight="1">
      <c r="A23" s="77" t="s">
        <v>251</v>
      </c>
      <c r="B23" s="263"/>
      <c r="C23" s="263"/>
      <c r="D23" s="263"/>
      <c r="E23" s="94"/>
      <c r="F23" s="94"/>
      <c r="G23" s="94"/>
      <c r="H23" s="94"/>
      <c r="I23" s="94"/>
      <c r="J23" s="114">
        <f t="shared" ref="J23:J42" si="3">SUM(E23:I23)</f>
        <v>0</v>
      </c>
      <c r="K23" s="166">
        <f t="shared" si="1"/>
        <v>0</v>
      </c>
      <c r="L23" s="176">
        <f>518731460.56*0.05</f>
        <v>25936573.028000001</v>
      </c>
      <c r="M23" s="109">
        <v>125607.13</v>
      </c>
    </row>
    <row r="24" spans="1:14" ht="18" customHeight="1">
      <c r="A24" s="290" t="s">
        <v>229</v>
      </c>
      <c r="B24" s="291"/>
      <c r="C24" s="291"/>
      <c r="D24" s="291"/>
      <c r="E24" s="292"/>
      <c r="F24" s="292"/>
      <c r="G24" s="292"/>
      <c r="H24" s="292"/>
      <c r="I24" s="292"/>
      <c r="J24" s="114">
        <f t="shared" si="3"/>
        <v>0</v>
      </c>
      <c r="K24" s="166"/>
      <c r="L24" s="228"/>
    </row>
    <row r="25" spans="1:14" ht="18" customHeight="1">
      <c r="A25" s="290" t="s">
        <v>252</v>
      </c>
      <c r="B25" s="291"/>
      <c r="C25" s="291"/>
      <c r="D25" s="291"/>
      <c r="E25" s="292"/>
      <c r="F25" s="292"/>
      <c r="G25" s="292"/>
      <c r="H25" s="292"/>
      <c r="I25" s="292"/>
      <c r="J25" s="114">
        <f t="shared" si="3"/>
        <v>0</v>
      </c>
      <c r="K25" s="166">
        <f t="shared" si="1"/>
        <v>0</v>
      </c>
      <c r="M25" s="232" t="s">
        <v>335</v>
      </c>
    </row>
    <row r="26" spans="1:14" ht="18" customHeight="1">
      <c r="A26" s="290" t="s">
        <v>276</v>
      </c>
      <c r="B26" s="291"/>
      <c r="C26" s="291"/>
      <c r="D26" s="291"/>
      <c r="E26" s="292"/>
      <c r="F26" s="292">
        <v>540145.61</v>
      </c>
      <c r="G26" s="292"/>
      <c r="H26" s="292"/>
      <c r="I26" s="292"/>
      <c r="J26" s="294">
        <f t="shared" si="3"/>
        <v>540145.61</v>
      </c>
      <c r="K26" s="166">
        <f t="shared" si="1"/>
        <v>540145.61</v>
      </c>
      <c r="M26" s="229">
        <v>375607.13</v>
      </c>
      <c r="N26" s="46" t="s">
        <v>230</v>
      </c>
    </row>
    <row r="27" spans="1:14" ht="18" customHeight="1">
      <c r="A27" s="293" t="s">
        <v>275</v>
      </c>
      <c r="B27" s="291"/>
      <c r="C27" s="291"/>
      <c r="D27" s="291"/>
      <c r="E27" s="292"/>
      <c r="F27" s="292"/>
      <c r="G27" s="292"/>
      <c r="H27" s="292"/>
      <c r="I27" s="292"/>
      <c r="J27" s="114">
        <f t="shared" si="3"/>
        <v>0</v>
      </c>
      <c r="K27" s="166">
        <f t="shared" si="1"/>
        <v>0</v>
      </c>
      <c r="M27" s="229">
        <v>820000</v>
      </c>
      <c r="N27" s="46" t="s">
        <v>232</v>
      </c>
    </row>
    <row r="28" spans="1:14" ht="18" customHeight="1">
      <c r="A28" s="290" t="s">
        <v>274</v>
      </c>
      <c r="B28" s="291"/>
      <c r="C28" s="291"/>
      <c r="D28" s="291"/>
      <c r="E28" s="292"/>
      <c r="F28" s="292"/>
      <c r="G28" s="292"/>
      <c r="H28" s="292"/>
      <c r="I28" s="292"/>
      <c r="J28" s="114">
        <f t="shared" si="3"/>
        <v>0</v>
      </c>
      <c r="K28" s="166">
        <f t="shared" si="1"/>
        <v>0</v>
      </c>
      <c r="M28" s="229">
        <v>1470000</v>
      </c>
      <c r="N28" s="46" t="s">
        <v>233</v>
      </c>
    </row>
    <row r="29" spans="1:14" ht="18" customHeight="1">
      <c r="A29" s="290" t="s">
        <v>227</v>
      </c>
      <c r="B29" s="291"/>
      <c r="C29" s="291"/>
      <c r="D29" s="291"/>
      <c r="E29" s="292"/>
      <c r="F29" s="292"/>
      <c r="G29" s="292"/>
      <c r="H29" s="292"/>
      <c r="I29" s="292"/>
      <c r="J29" s="114">
        <f t="shared" si="3"/>
        <v>0</v>
      </c>
      <c r="K29" s="166">
        <f t="shared" si="1"/>
        <v>0</v>
      </c>
      <c r="L29" s="368"/>
      <c r="M29" s="229">
        <v>3821228.76</v>
      </c>
      <c r="N29" s="46" t="s">
        <v>231</v>
      </c>
    </row>
    <row r="30" spans="1:14" ht="18" customHeight="1">
      <c r="A30" s="290" t="s">
        <v>273</v>
      </c>
      <c r="B30" s="291"/>
      <c r="C30" s="291"/>
      <c r="D30" s="291"/>
      <c r="E30" s="292"/>
      <c r="F30" s="292"/>
      <c r="G30" s="292"/>
      <c r="H30" s="292"/>
      <c r="I30" s="292"/>
      <c r="J30" s="114">
        <f t="shared" si="3"/>
        <v>0</v>
      </c>
      <c r="K30" s="166"/>
      <c r="L30" s="368"/>
      <c r="M30" s="229">
        <v>6109630</v>
      </c>
      <c r="N30" s="46" t="s">
        <v>234</v>
      </c>
    </row>
    <row r="31" spans="1:14" ht="18" customHeight="1">
      <c r="A31" s="290" t="s">
        <v>213</v>
      </c>
      <c r="B31" s="291"/>
      <c r="C31" s="291"/>
      <c r="D31" s="291"/>
      <c r="E31" s="292"/>
      <c r="F31" s="292"/>
      <c r="G31" s="292"/>
      <c r="H31" s="292"/>
      <c r="I31" s="292"/>
      <c r="J31" s="114">
        <f t="shared" si="3"/>
        <v>0</v>
      </c>
      <c r="K31" s="166"/>
      <c r="L31" s="368"/>
      <c r="M31" s="377">
        <v>3363100</v>
      </c>
      <c r="N31" s="46" t="s">
        <v>235</v>
      </c>
    </row>
    <row r="32" spans="1:14" ht="18" customHeight="1">
      <c r="A32" s="290" t="s">
        <v>250</v>
      </c>
      <c r="B32" s="291"/>
      <c r="C32" s="291"/>
      <c r="D32" s="291"/>
      <c r="E32" s="292"/>
      <c r="F32" s="292"/>
      <c r="G32" s="292"/>
      <c r="H32" s="292"/>
      <c r="I32" s="292"/>
      <c r="J32" s="114">
        <f t="shared" si="3"/>
        <v>0</v>
      </c>
      <c r="K32" s="166"/>
      <c r="L32" s="368"/>
      <c r="M32" s="230">
        <v>45000</v>
      </c>
      <c r="N32" s="46" t="s">
        <v>336</v>
      </c>
    </row>
    <row r="33" spans="1:13" ht="18" customHeight="1">
      <c r="A33" s="290" t="s">
        <v>214</v>
      </c>
      <c r="B33" s="291"/>
      <c r="C33" s="291"/>
      <c r="D33" s="291"/>
      <c r="E33" s="292"/>
      <c r="F33" s="292"/>
      <c r="G33" s="292"/>
      <c r="H33" s="292"/>
      <c r="I33" s="292"/>
      <c r="J33" s="114">
        <f t="shared" si="3"/>
        <v>0</v>
      </c>
      <c r="K33" s="227"/>
      <c r="L33" s="368"/>
      <c r="M33" s="289">
        <f>SUM(M26:M32)</f>
        <v>16004565.890000001</v>
      </c>
    </row>
    <row r="34" spans="1:13" ht="18" customHeight="1">
      <c r="A34" s="290" t="s">
        <v>249</v>
      </c>
      <c r="B34" s="291"/>
      <c r="C34" s="291"/>
      <c r="D34" s="291"/>
      <c r="E34" s="292"/>
      <c r="F34" s="292"/>
      <c r="G34" s="292"/>
      <c r="H34" s="292"/>
      <c r="I34" s="292"/>
      <c r="J34" s="114">
        <f t="shared" si="3"/>
        <v>0</v>
      </c>
      <c r="K34" s="265"/>
      <c r="L34" s="368"/>
    </row>
    <row r="35" spans="1:13" ht="18" customHeight="1">
      <c r="A35" s="290" t="s">
        <v>222</v>
      </c>
      <c r="B35" s="291"/>
      <c r="C35" s="291"/>
      <c r="D35" s="291"/>
      <c r="E35" s="292"/>
      <c r="F35" s="292"/>
      <c r="G35" s="292"/>
      <c r="H35" s="292"/>
      <c r="I35" s="292"/>
      <c r="J35" s="114">
        <f t="shared" si="3"/>
        <v>0</v>
      </c>
      <c r="K35" s="266">
        <f t="shared" si="1"/>
        <v>0</v>
      </c>
      <c r="L35" s="109">
        <f>SUM(F29:F35)</f>
        <v>0</v>
      </c>
    </row>
    <row r="36" spans="1:13" ht="18" customHeight="1">
      <c r="A36" s="290" t="s">
        <v>223</v>
      </c>
      <c r="B36" s="291"/>
      <c r="C36" s="291"/>
      <c r="D36" s="291"/>
      <c r="E36" s="292"/>
      <c r="F36" s="292"/>
      <c r="G36" s="292"/>
      <c r="H36" s="292"/>
      <c r="I36" s="292"/>
      <c r="J36" s="114">
        <f t="shared" si="3"/>
        <v>0</v>
      </c>
      <c r="K36" s="166">
        <f t="shared" si="1"/>
        <v>0</v>
      </c>
      <c r="L36" s="109">
        <v>147060</v>
      </c>
    </row>
    <row r="37" spans="1:13" ht="18" customHeight="1">
      <c r="A37" s="290" t="s">
        <v>168</v>
      </c>
      <c r="B37" s="291"/>
      <c r="C37" s="291"/>
      <c r="D37" s="291"/>
      <c r="E37" s="292"/>
      <c r="F37" s="292"/>
      <c r="G37" s="292"/>
      <c r="H37" s="292"/>
      <c r="I37" s="292"/>
      <c r="J37" s="114">
        <f t="shared" si="3"/>
        <v>0</v>
      </c>
      <c r="K37" s="166">
        <f t="shared" si="1"/>
        <v>0</v>
      </c>
    </row>
    <row r="38" spans="1:13" ht="18" customHeight="1">
      <c r="A38" s="290" t="s">
        <v>293</v>
      </c>
      <c r="B38" s="291"/>
      <c r="C38" s="291"/>
      <c r="D38" s="291"/>
      <c r="E38" s="292"/>
      <c r="F38" s="292"/>
      <c r="G38" s="292"/>
      <c r="H38" s="292"/>
      <c r="I38" s="292"/>
      <c r="J38" s="114">
        <f t="shared" si="3"/>
        <v>0</v>
      </c>
      <c r="K38" s="166">
        <f t="shared" si="1"/>
        <v>0</v>
      </c>
      <c r="L38" s="109">
        <v>1555500</v>
      </c>
    </row>
    <row r="39" spans="1:13" ht="18" customHeight="1">
      <c r="A39" s="290" t="s">
        <v>207</v>
      </c>
      <c r="B39" s="291"/>
      <c r="C39" s="291"/>
      <c r="D39" s="291"/>
      <c r="E39" s="292"/>
      <c r="F39" s="292"/>
      <c r="G39" s="292"/>
      <c r="H39" s="292"/>
      <c r="I39" s="292"/>
      <c r="J39" s="114">
        <f t="shared" si="3"/>
        <v>0</v>
      </c>
      <c r="K39" s="166"/>
    </row>
    <row r="40" spans="1:13" ht="18" customHeight="1">
      <c r="A40" s="83" t="s">
        <v>94</v>
      </c>
      <c r="B40" s="263"/>
      <c r="C40" s="263"/>
      <c r="D40" s="263"/>
      <c r="E40" s="94"/>
      <c r="F40" s="94"/>
      <c r="G40" s="94"/>
      <c r="H40" s="94"/>
      <c r="I40" s="94"/>
      <c r="J40" s="114">
        <f t="shared" si="3"/>
        <v>0</v>
      </c>
      <c r="K40" s="166">
        <f t="shared" si="1"/>
        <v>0</v>
      </c>
      <c r="L40" s="109">
        <v>177000</v>
      </c>
    </row>
    <row r="41" spans="1:13" ht="18" customHeight="1">
      <c r="A41" s="83" t="s">
        <v>95</v>
      </c>
      <c r="B41" s="263"/>
      <c r="C41" s="263"/>
      <c r="D41" s="263"/>
      <c r="E41" s="94"/>
      <c r="F41" s="94"/>
      <c r="G41" s="94"/>
      <c r="H41" s="94"/>
      <c r="I41" s="94"/>
      <c r="J41" s="114">
        <f t="shared" si="3"/>
        <v>0</v>
      </c>
      <c r="K41" s="166">
        <f t="shared" si="1"/>
        <v>0</v>
      </c>
      <c r="L41" s="109">
        <v>204055</v>
      </c>
    </row>
    <row r="42" spans="1:13" ht="18" customHeight="1">
      <c r="A42" s="77" t="s">
        <v>96</v>
      </c>
      <c r="B42" s="263"/>
      <c r="C42" s="263"/>
      <c r="D42" s="263"/>
      <c r="E42" s="94"/>
      <c r="F42" s="102"/>
      <c r="G42" s="94"/>
      <c r="H42" s="94"/>
      <c r="I42" s="94"/>
      <c r="J42" s="114">
        <f t="shared" si="3"/>
        <v>0</v>
      </c>
      <c r="K42" s="166">
        <f t="shared" si="1"/>
        <v>0</v>
      </c>
      <c r="L42" s="109">
        <v>71070</v>
      </c>
    </row>
    <row r="43" spans="1:13" ht="18" customHeight="1">
      <c r="A43" s="84" t="s">
        <v>92</v>
      </c>
      <c r="B43" s="63"/>
      <c r="C43" s="63"/>
      <c r="D43" s="63"/>
      <c r="E43" s="89">
        <f>SUM(E22:E42)</f>
        <v>0</v>
      </c>
      <c r="F43" s="303">
        <f>SUM(F22:F42)</f>
        <v>540145.61</v>
      </c>
      <c r="G43" s="304">
        <f>SUM(G22:G42)</f>
        <v>0</v>
      </c>
      <c r="H43" s="94">
        <f t="shared" ref="H43:J43" si="4">SUM(H22:H42)</f>
        <v>0</v>
      </c>
      <c r="I43" s="94">
        <f t="shared" si="4"/>
        <v>0</v>
      </c>
      <c r="J43" s="292">
        <f t="shared" si="4"/>
        <v>540145.61</v>
      </c>
      <c r="K43" s="166">
        <f t="shared" si="1"/>
        <v>540145.61</v>
      </c>
      <c r="L43" s="109">
        <v>27800</v>
      </c>
      <c r="M43" s="46"/>
    </row>
    <row r="44" spans="1:13" ht="18" customHeight="1">
      <c r="A44" s="84" t="s">
        <v>103</v>
      </c>
      <c r="B44" s="63"/>
      <c r="C44" s="63"/>
      <c r="D44" s="63"/>
      <c r="E44" s="103">
        <v>0</v>
      </c>
      <c r="F44" s="103">
        <v>0</v>
      </c>
      <c r="G44" s="103">
        <f>SUM('DRRM Funds -Nov''16'!G45)</f>
        <v>0</v>
      </c>
      <c r="H44" s="103">
        <f>SUM('DRRM Funds -Nov''16'!H45)</f>
        <v>0</v>
      </c>
      <c r="I44" s="103">
        <f>SUM('DRRM Funds -Nov''16'!I45)</f>
        <v>0</v>
      </c>
      <c r="J44" s="103">
        <f>SUM(E44:I44)</f>
        <v>0</v>
      </c>
      <c r="K44" s="166">
        <f t="shared" si="1"/>
        <v>0</v>
      </c>
      <c r="L44" s="109">
        <v>126865</v>
      </c>
      <c r="M44" s="109">
        <f>SUM(E44:H44)</f>
        <v>0</v>
      </c>
    </row>
    <row r="45" spans="1:13" ht="18" customHeight="1">
      <c r="A45" s="84" t="s">
        <v>104</v>
      </c>
      <c r="B45" s="63"/>
      <c r="C45" s="63"/>
      <c r="D45" s="63"/>
      <c r="E45" s="103">
        <f>SUM(E43:E44)</f>
        <v>0</v>
      </c>
      <c r="F45" s="103">
        <f t="shared" ref="F45:J45" si="5">SUM(F43:F44)</f>
        <v>540145.61</v>
      </c>
      <c r="G45" s="103">
        <f t="shared" si="5"/>
        <v>0</v>
      </c>
      <c r="H45" s="103">
        <f t="shared" si="5"/>
        <v>0</v>
      </c>
      <c r="I45" s="103">
        <f t="shared" si="5"/>
        <v>0</v>
      </c>
      <c r="J45" s="103">
        <f t="shared" si="5"/>
        <v>540145.61</v>
      </c>
      <c r="K45" s="166">
        <f t="shared" si="1"/>
        <v>540145.61</v>
      </c>
      <c r="L45" s="174">
        <f>SUM(L35:L44)</f>
        <v>2309350</v>
      </c>
      <c r="M45" s="109">
        <v>10492358.970000001</v>
      </c>
    </row>
    <row r="46" spans="1:13" ht="18" customHeight="1">
      <c r="A46" s="70" t="s">
        <v>93</v>
      </c>
      <c r="B46" s="72"/>
      <c r="C46" s="72"/>
      <c r="D46" s="80"/>
      <c r="E46" s="231">
        <f t="shared" ref="E46:J46" si="6">E20-E43</f>
        <v>34580282.4723</v>
      </c>
      <c r="F46" s="231">
        <f t="shared" si="6"/>
        <v>30849272.758699998</v>
      </c>
      <c r="G46" s="231">
        <f>G20-G43</f>
        <v>0</v>
      </c>
      <c r="H46" s="231">
        <f t="shared" si="6"/>
        <v>0</v>
      </c>
      <c r="I46" s="231">
        <f t="shared" si="6"/>
        <v>0</v>
      </c>
      <c r="J46" s="378">
        <f t="shared" si="6"/>
        <v>65429555.230999999</v>
      </c>
      <c r="K46" s="166">
        <f>SUM(E46:I46)</f>
        <v>65429555.230999999</v>
      </c>
      <c r="L46" s="46"/>
      <c r="M46" s="109">
        <f>M45-L45</f>
        <v>8183008.9700000007</v>
      </c>
    </row>
    <row r="47" spans="1:13" ht="18" customHeight="1">
      <c r="A47" s="55"/>
      <c r="B47" s="55"/>
      <c r="C47" s="55"/>
      <c r="D47" s="55"/>
      <c r="E47" s="55"/>
      <c r="F47" s="55"/>
      <c r="G47" s="55"/>
      <c r="H47" s="55"/>
      <c r="I47" s="55"/>
      <c r="J47" s="115" t="s">
        <v>74</v>
      </c>
      <c r="K47" s="92">
        <f>SUM(E46:F46)</f>
        <v>65429555.230999999</v>
      </c>
      <c r="M47" s="109">
        <v>0</v>
      </c>
    </row>
    <row r="48" spans="1:13">
      <c r="A48" s="55" t="s">
        <v>83</v>
      </c>
      <c r="B48" s="55"/>
      <c r="C48" s="55"/>
      <c r="D48" s="55"/>
      <c r="E48" s="55"/>
      <c r="F48" s="55"/>
      <c r="G48" s="55"/>
      <c r="H48" s="55" t="s">
        <v>29</v>
      </c>
      <c r="I48" s="55"/>
      <c r="J48" s="115"/>
      <c r="K48" s="55"/>
      <c r="L48" s="109">
        <v>752760</v>
      </c>
    </row>
    <row r="49" spans="1:13">
      <c r="A49" s="55"/>
      <c r="B49" s="55"/>
      <c r="C49" s="55"/>
      <c r="D49" s="55"/>
      <c r="E49" s="55"/>
      <c r="F49" s="55"/>
      <c r="G49" s="55"/>
      <c r="H49" s="55"/>
      <c r="I49" s="55"/>
      <c r="J49" s="115"/>
      <c r="K49" s="55"/>
      <c r="L49" s="109">
        <v>902075</v>
      </c>
    </row>
    <row r="50" spans="1:13">
      <c r="A50" s="82" t="s">
        <v>202</v>
      </c>
      <c r="B50" s="55"/>
      <c r="C50" s="55"/>
      <c r="D50" s="55"/>
      <c r="E50" s="55"/>
      <c r="F50" s="55"/>
      <c r="G50" s="55"/>
      <c r="H50" s="241" t="s">
        <v>72</v>
      </c>
      <c r="I50" s="55"/>
      <c r="J50" s="115"/>
      <c r="K50" s="55"/>
      <c r="L50" s="109">
        <v>504234.65</v>
      </c>
      <c r="M50" s="109">
        <v>8736531.7100000009</v>
      </c>
    </row>
    <row r="51" spans="1:13">
      <c r="A51" s="140" t="s">
        <v>287</v>
      </c>
      <c r="B51" s="55"/>
      <c r="C51" s="55"/>
      <c r="D51" s="55"/>
      <c r="E51" s="55"/>
      <c r="F51" s="55"/>
      <c r="G51" s="55"/>
      <c r="H51" s="140" t="s">
        <v>85</v>
      </c>
      <c r="I51" s="55"/>
      <c r="J51" s="115"/>
      <c r="K51" s="55"/>
      <c r="L51" s="109">
        <v>899145</v>
      </c>
      <c r="M51" s="109">
        <v>10140</v>
      </c>
    </row>
    <row r="52" spans="1:13">
      <c r="A52" s="55"/>
      <c r="B52" s="55"/>
      <c r="C52" s="55"/>
      <c r="D52" s="55"/>
      <c r="E52" s="121" t="s">
        <v>237</v>
      </c>
      <c r="F52" s="55"/>
      <c r="G52" s="55"/>
      <c r="H52" s="55"/>
      <c r="I52" s="55"/>
      <c r="J52" s="115"/>
      <c r="K52" s="55"/>
      <c r="L52" s="109">
        <v>1087927.3999999999</v>
      </c>
      <c r="M52" s="109">
        <f>SUM(M50:M51)</f>
        <v>8746671.7100000009</v>
      </c>
    </row>
    <row r="53" spans="1:13">
      <c r="A53" s="55"/>
      <c r="B53" s="55"/>
      <c r="C53" s="55"/>
      <c r="D53" s="55"/>
      <c r="E53" s="115"/>
      <c r="F53" s="55"/>
      <c r="G53" s="55"/>
      <c r="H53" s="55"/>
      <c r="I53" s="115"/>
      <c r="J53" s="115"/>
      <c r="K53" s="55"/>
      <c r="L53" s="109">
        <v>2896515.5</v>
      </c>
    </row>
    <row r="54" spans="1:13">
      <c r="A54" s="55"/>
      <c r="B54" s="55"/>
      <c r="C54" s="55"/>
      <c r="D54" s="55"/>
      <c r="E54" s="82" t="s">
        <v>298</v>
      </c>
      <c r="F54" s="55"/>
      <c r="G54" s="55"/>
      <c r="H54" s="55"/>
      <c r="I54" s="115"/>
      <c r="J54" s="115"/>
      <c r="K54" s="55"/>
    </row>
    <row r="55" spans="1:13">
      <c r="A55" s="55"/>
      <c r="B55" s="55"/>
      <c r="C55" s="55"/>
      <c r="D55" s="55"/>
      <c r="E55" s="55" t="s">
        <v>299</v>
      </c>
      <c r="F55" s="55"/>
      <c r="G55" s="55"/>
      <c r="H55" s="55"/>
      <c r="I55" s="115"/>
      <c r="J55" s="115"/>
      <c r="K55" s="55"/>
      <c r="L55" s="109">
        <v>120000</v>
      </c>
    </row>
    <row r="56" spans="1:13">
      <c r="I56" s="109"/>
      <c r="M56" s="46"/>
    </row>
    <row r="57" spans="1:13">
      <c r="F57" s="121"/>
      <c r="I57" s="109"/>
      <c r="K57" s="55"/>
      <c r="L57" s="115">
        <v>630000</v>
      </c>
      <c r="M57" s="183">
        <v>10644424.82</v>
      </c>
    </row>
    <row r="58" spans="1:13">
      <c r="B58" s="276" t="s">
        <v>236</v>
      </c>
      <c r="F58" s="115"/>
      <c r="I58" s="109"/>
      <c r="J58" s="109">
        <v>7850000</v>
      </c>
      <c r="L58" s="109">
        <v>1000000</v>
      </c>
      <c r="M58" s="183">
        <v>13157941.960000001</v>
      </c>
    </row>
    <row r="59" spans="1:13">
      <c r="I59" s="109"/>
      <c r="J59" s="109">
        <v>800000</v>
      </c>
      <c r="L59" s="109">
        <v>1300000</v>
      </c>
      <c r="M59" s="184">
        <v>0</v>
      </c>
    </row>
    <row r="60" spans="1:13">
      <c r="A60" s="46" t="s">
        <v>282</v>
      </c>
      <c r="B60" s="392">
        <f>1493800+99900</f>
        <v>1593700</v>
      </c>
      <c r="C60" s="392"/>
      <c r="I60" s="109"/>
      <c r="J60" s="109">
        <v>1200000</v>
      </c>
      <c r="L60" s="109">
        <v>2000000</v>
      </c>
      <c r="M60" s="183">
        <f>SUM(M57:M59)</f>
        <v>23802366.780000001</v>
      </c>
    </row>
    <row r="61" spans="1:13">
      <c r="A61" s="46" t="s">
        <v>281</v>
      </c>
      <c r="B61" s="392">
        <v>1400000</v>
      </c>
      <c r="C61" s="392"/>
      <c r="I61" s="109"/>
      <c r="J61" s="109">
        <v>3500000</v>
      </c>
      <c r="L61" s="109">
        <v>150000</v>
      </c>
      <c r="M61" s="183">
        <v>24092226.780000001</v>
      </c>
    </row>
    <row r="62" spans="1:13">
      <c r="A62" s="46" t="s">
        <v>258</v>
      </c>
      <c r="B62" s="393">
        <v>1975000</v>
      </c>
      <c r="C62" s="393"/>
      <c r="I62" s="109">
        <v>100000</v>
      </c>
      <c r="J62" s="116">
        <f>SUM(J58:J61)</f>
        <v>13350000</v>
      </c>
      <c r="L62" s="109">
        <v>4590281.96</v>
      </c>
      <c r="M62" s="183">
        <f>M61-M60</f>
        <v>289860</v>
      </c>
    </row>
    <row r="63" spans="1:13">
      <c r="A63" s="46" t="s">
        <v>283</v>
      </c>
      <c r="B63" s="387">
        <v>1214184.3500000001</v>
      </c>
      <c r="C63" s="387"/>
      <c r="I63" s="109">
        <v>4589687.1100000003</v>
      </c>
      <c r="J63" s="109">
        <v>16829861.079999998</v>
      </c>
      <c r="L63" s="109">
        <f>SUM(L57:L62)</f>
        <v>9670281.9600000009</v>
      </c>
      <c r="M63" s="46"/>
    </row>
    <row r="64" spans="1:13">
      <c r="B64" s="388">
        <f>SUM(B60:C63)</f>
        <v>6182884.3499999996</v>
      </c>
      <c r="C64" s="388"/>
      <c r="I64" s="116">
        <f>SUM(I58:I63)</f>
        <v>4689687.1100000003</v>
      </c>
      <c r="J64" s="109">
        <f>J62-J63</f>
        <v>-3479861.0799999982</v>
      </c>
      <c r="M64" s="109">
        <v>24416573.030000001</v>
      </c>
    </row>
    <row r="65" spans="1:13">
      <c r="I65" s="109">
        <v>7212797.6100000003</v>
      </c>
      <c r="M65" s="109">
        <v>24708913.030000001</v>
      </c>
    </row>
    <row r="66" spans="1:13">
      <c r="I66" s="109">
        <f>I64-I65</f>
        <v>-2523110.5</v>
      </c>
      <c r="M66" s="109">
        <f>M64-M65</f>
        <v>-292340</v>
      </c>
    </row>
    <row r="67" spans="1:13">
      <c r="I67" s="109"/>
      <c r="M67" s="109">
        <v>289860</v>
      </c>
    </row>
    <row r="68" spans="1:13">
      <c r="I68" s="109"/>
      <c r="J68" s="109">
        <v>25346381.800000001</v>
      </c>
      <c r="M68" s="173">
        <f>SUM(M66:M67)</f>
        <v>-2480</v>
      </c>
    </row>
    <row r="69" spans="1:13">
      <c r="I69" s="109"/>
      <c r="J69" s="109">
        <v>24042658.690000001</v>
      </c>
      <c r="M69" s="46"/>
    </row>
    <row r="70" spans="1:13">
      <c r="I70" s="109"/>
      <c r="J70" s="109">
        <f>J68-J69</f>
        <v>1303723.1099999994</v>
      </c>
      <c r="L70" s="109">
        <v>400000</v>
      </c>
      <c r="M70" s="46"/>
    </row>
    <row r="71" spans="1:13">
      <c r="I71" s="109"/>
      <c r="L71" s="109">
        <v>1000000</v>
      </c>
      <c r="M71" s="109">
        <v>25279.7</v>
      </c>
    </row>
    <row r="72" spans="1:13">
      <c r="I72" s="109"/>
      <c r="M72" s="109">
        <v>27759.7</v>
      </c>
    </row>
    <row r="73" spans="1:13">
      <c r="H73" s="109"/>
      <c r="I73" s="109"/>
      <c r="M73" s="173">
        <f>M71-M72</f>
        <v>-2480</v>
      </c>
    </row>
    <row r="74" spans="1:13">
      <c r="H74" s="109">
        <v>4455551.57</v>
      </c>
      <c r="I74" s="109"/>
      <c r="J74" s="109">
        <v>17496381.800000001</v>
      </c>
      <c r="M74" s="46"/>
    </row>
    <row r="75" spans="1:13">
      <c r="H75" s="109">
        <v>5760963.6399999997</v>
      </c>
      <c r="I75" s="109"/>
      <c r="J75" s="109">
        <v>7850000</v>
      </c>
      <c r="M75" s="46"/>
    </row>
    <row r="76" spans="1:13">
      <c r="H76" s="109">
        <f>SUM(H74:H75)</f>
        <v>10216515.210000001</v>
      </c>
      <c r="I76" s="109"/>
      <c r="J76" s="109">
        <f>SUM(J74:J75)</f>
        <v>25346381.800000001</v>
      </c>
      <c r="M76" s="46"/>
    </row>
    <row r="77" spans="1:13" s="109" customFormat="1">
      <c r="A77" s="46"/>
      <c r="B77" s="46"/>
      <c r="C77" s="46"/>
      <c r="D77" s="46"/>
      <c r="E77" s="46"/>
      <c r="F77" s="46"/>
      <c r="G77" s="46"/>
    </row>
    <row r="78" spans="1:13" s="109" customFormat="1">
      <c r="A78" s="46"/>
      <c r="B78" s="46"/>
      <c r="C78" s="46"/>
      <c r="D78" s="46"/>
      <c r="E78" s="46"/>
      <c r="F78" s="46"/>
      <c r="G78" s="46"/>
    </row>
    <row r="79" spans="1:13" s="109" customFormat="1">
      <c r="A79" s="46"/>
      <c r="B79" s="46"/>
      <c r="C79" s="46"/>
      <c r="D79" s="46"/>
      <c r="E79" s="46"/>
      <c r="F79" s="46"/>
      <c r="G79" s="46"/>
    </row>
    <row r="80" spans="1:13" s="109" customFormat="1">
      <c r="A80" s="46"/>
      <c r="B80" s="46"/>
      <c r="C80" s="46"/>
      <c r="D80" s="46"/>
      <c r="E80" s="46"/>
      <c r="F80" s="46"/>
      <c r="G80" s="46"/>
    </row>
    <row r="81" spans="1:11" s="109" customFormat="1">
      <c r="A81" s="46"/>
      <c r="B81" s="46"/>
      <c r="C81" s="46"/>
      <c r="D81" s="46"/>
      <c r="E81" s="46"/>
      <c r="F81" s="46"/>
      <c r="G81" s="46"/>
    </row>
    <row r="82" spans="1:11" s="109" customFormat="1">
      <c r="A82" s="46"/>
      <c r="B82" s="46"/>
      <c r="C82" s="46"/>
      <c r="D82" s="46"/>
      <c r="E82" s="46"/>
      <c r="F82" s="46"/>
      <c r="G82" s="46"/>
    </row>
    <row r="83" spans="1:11" s="109" customFormat="1">
      <c r="A83" s="46"/>
      <c r="B83" s="46"/>
      <c r="C83" s="46"/>
      <c r="D83" s="46"/>
      <c r="E83" s="46"/>
      <c r="F83" s="46"/>
      <c r="G83" s="46"/>
      <c r="H83" s="46"/>
    </row>
    <row r="84" spans="1:11" s="109" customFormat="1">
      <c r="A84" s="46"/>
      <c r="B84" s="46"/>
      <c r="C84" s="46"/>
      <c r="D84" s="46"/>
      <c r="E84" s="46"/>
      <c r="F84" s="46"/>
      <c r="G84" s="46"/>
      <c r="H84" s="46"/>
    </row>
    <row r="85" spans="1:11" s="109" customFormat="1">
      <c r="A85" s="46"/>
      <c r="B85" s="46"/>
      <c r="C85" s="46"/>
      <c r="D85" s="46"/>
      <c r="E85" s="46"/>
      <c r="F85" s="46"/>
      <c r="G85" s="46"/>
      <c r="H85" s="46"/>
    </row>
    <row r="86" spans="1:11" s="109" customFormat="1">
      <c r="A86" s="46"/>
      <c r="B86" s="46"/>
      <c r="C86" s="46"/>
      <c r="D86" s="46"/>
      <c r="E86" s="46"/>
      <c r="F86" s="46"/>
      <c r="G86" s="46"/>
      <c r="H86" s="46"/>
    </row>
    <row r="87" spans="1:11" s="109" customFormat="1">
      <c r="A87" s="46"/>
      <c r="B87" s="46"/>
      <c r="C87" s="46"/>
      <c r="D87" s="46"/>
      <c r="E87" s="46"/>
      <c r="F87" s="46"/>
      <c r="G87" s="46"/>
      <c r="H87" s="46"/>
      <c r="K87" s="46"/>
    </row>
    <row r="88" spans="1:11" s="109" customFormat="1">
      <c r="A88" s="46"/>
      <c r="B88" s="46"/>
      <c r="C88" s="46"/>
      <c r="D88" s="46"/>
      <c r="E88" s="46"/>
      <c r="F88" s="46"/>
      <c r="G88" s="46"/>
      <c r="H88" s="46"/>
      <c r="K88" s="46"/>
    </row>
    <row r="89" spans="1:11" s="109" customFormat="1">
      <c r="A89" s="46"/>
      <c r="B89" s="46"/>
      <c r="C89" s="46"/>
      <c r="D89" s="46"/>
      <c r="E89" s="46"/>
      <c r="F89" s="46"/>
      <c r="G89" s="46"/>
      <c r="H89" s="46"/>
      <c r="K89" s="46"/>
    </row>
    <row r="90" spans="1:11" s="109" customFormat="1">
      <c r="A90" s="46"/>
      <c r="B90" s="46"/>
      <c r="C90" s="46"/>
      <c r="D90" s="46"/>
      <c r="E90" s="46"/>
      <c r="F90" s="46"/>
      <c r="G90" s="46"/>
      <c r="H90" s="46"/>
      <c r="K90" s="46"/>
    </row>
    <row r="91" spans="1:11" s="109" customFormat="1">
      <c r="A91" s="46"/>
      <c r="B91" s="46"/>
      <c r="C91" s="46"/>
      <c r="D91" s="46"/>
      <c r="E91" s="46"/>
      <c r="F91" s="46"/>
      <c r="G91" s="46"/>
      <c r="H91" s="46"/>
      <c r="K91" s="46"/>
    </row>
    <row r="92" spans="1:11" s="109" customFormat="1">
      <c r="A92" s="46"/>
      <c r="B92" s="46"/>
      <c r="C92" s="46"/>
      <c r="D92" s="46"/>
      <c r="E92" s="46"/>
      <c r="F92" s="46"/>
      <c r="G92" s="46"/>
      <c r="H92" s="46"/>
      <c r="K92" s="46"/>
    </row>
    <row r="93" spans="1:11" s="109" customFormat="1">
      <c r="A93" s="46"/>
      <c r="B93" s="46"/>
      <c r="C93" s="46"/>
      <c r="D93" s="46"/>
      <c r="E93" s="46"/>
      <c r="F93" s="46"/>
      <c r="G93" s="46"/>
      <c r="H93" s="46"/>
      <c r="K93" s="46"/>
    </row>
    <row r="94" spans="1:11" s="109" customFormat="1">
      <c r="A94" s="46"/>
      <c r="B94" s="46"/>
      <c r="C94" s="46"/>
      <c r="D94" s="46"/>
      <c r="E94" s="46"/>
      <c r="F94" s="46"/>
      <c r="G94" s="46"/>
      <c r="H94" s="46"/>
      <c r="K94" s="46"/>
    </row>
    <row r="95" spans="1:11" s="109" customFormat="1">
      <c r="A95" s="46"/>
      <c r="B95" s="46"/>
      <c r="C95" s="46"/>
      <c r="D95" s="46"/>
      <c r="E95" s="46"/>
      <c r="F95" s="46"/>
      <c r="G95" s="46"/>
      <c r="H95" s="46"/>
      <c r="K95" s="46"/>
    </row>
    <row r="96" spans="1:11" s="109" customFormat="1">
      <c r="A96" s="46"/>
      <c r="B96" s="46"/>
      <c r="C96" s="46"/>
      <c r="D96" s="46"/>
      <c r="E96" s="46"/>
      <c r="F96" s="46"/>
      <c r="G96" s="46"/>
      <c r="H96" s="46"/>
      <c r="K96" s="46"/>
    </row>
    <row r="97" spans="1:11" s="109" customFormat="1">
      <c r="A97" s="46"/>
      <c r="B97" s="46"/>
      <c r="C97" s="46"/>
      <c r="D97" s="46"/>
      <c r="E97" s="46"/>
      <c r="F97" s="46"/>
      <c r="G97" s="46"/>
      <c r="H97" s="46"/>
      <c r="K97" s="46"/>
    </row>
    <row r="98" spans="1:11" s="109" customFormat="1">
      <c r="A98" s="46"/>
      <c r="B98" s="46"/>
      <c r="C98" s="46"/>
      <c r="D98" s="46"/>
      <c r="E98" s="46"/>
      <c r="F98" s="46"/>
      <c r="G98" s="46"/>
      <c r="H98" s="46"/>
      <c r="K98" s="46"/>
    </row>
    <row r="99" spans="1:11" s="109" customFormat="1">
      <c r="A99" s="46"/>
      <c r="B99" s="46"/>
      <c r="C99" s="46"/>
      <c r="D99" s="46"/>
      <c r="E99" s="46"/>
      <c r="F99" s="46"/>
      <c r="G99" s="46"/>
      <c r="H99" s="46"/>
      <c r="K99" s="46"/>
    </row>
  </sheetData>
  <mergeCells count="8">
    <mergeCell ref="B63:C63"/>
    <mergeCell ref="B64:C64"/>
    <mergeCell ref="A2:J2"/>
    <mergeCell ref="A3:J3"/>
    <mergeCell ref="A4:J4"/>
    <mergeCell ref="B60:C60"/>
    <mergeCell ref="B61:C61"/>
    <mergeCell ref="B62:C62"/>
  </mergeCells>
  <printOptions horizontalCentered="1"/>
  <pageMargins left="0.02" right="0.15" top="0.39" bottom="0.1" header="0.21" footer="0.1"/>
  <pageSetup scale="84" orientation="portrait" verticalDpi="30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O93"/>
  <sheetViews>
    <sheetView workbookViewId="0">
      <selection activeCell="H34" sqref="H34"/>
    </sheetView>
  </sheetViews>
  <sheetFormatPr defaultRowHeight="12"/>
  <cols>
    <col min="1" max="1" width="12" style="1" bestFit="1" customWidth="1"/>
    <col min="2" max="2" width="9.140625" style="1"/>
    <col min="3" max="3" width="4.42578125" style="1" customWidth="1"/>
    <col min="4" max="4" width="5.5703125" style="1" customWidth="1"/>
    <col min="5" max="5" width="13.7109375" style="1" customWidth="1"/>
    <col min="6" max="6" width="14.5703125" style="1" customWidth="1"/>
    <col min="7" max="7" width="13.85546875" style="1" customWidth="1"/>
    <col min="8" max="8" width="14.85546875" style="1" customWidth="1"/>
    <col min="9" max="9" width="12.5703125" style="1" customWidth="1"/>
    <col min="10" max="10" width="12.42578125" style="1" customWidth="1"/>
    <col min="11" max="11" width="10" style="1" customWidth="1"/>
    <col min="12" max="12" width="10.7109375" style="1" customWidth="1"/>
    <col min="13" max="13" width="15.42578125" style="177" customWidth="1"/>
    <col min="14" max="14" width="15.28515625" style="177" customWidth="1"/>
    <col min="15" max="15" width="15.42578125" style="1" customWidth="1"/>
    <col min="16" max="16384" width="9.140625" style="1"/>
  </cols>
  <sheetData>
    <row r="1" spans="1:15">
      <c r="A1" s="409" t="s">
        <v>82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</row>
    <row r="2" spans="1:15">
      <c r="A2" s="409" t="s">
        <v>37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</row>
    <row r="3" spans="1:15">
      <c r="A3" s="409" t="s">
        <v>217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</row>
    <row r="4" spans="1:15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</row>
    <row r="5" spans="1:15">
      <c r="A5" s="2"/>
      <c r="B5" s="3"/>
      <c r="C5" s="3"/>
      <c r="D5" s="3"/>
      <c r="E5" s="4"/>
      <c r="F5" s="44"/>
      <c r="G5" s="5"/>
      <c r="H5" s="220"/>
      <c r="I5" s="6"/>
      <c r="J5" s="7"/>
      <c r="K5" s="8"/>
      <c r="L5" s="8"/>
    </row>
    <row r="6" spans="1:15">
      <c r="A6" s="9"/>
      <c r="B6" s="10"/>
      <c r="C6" s="10"/>
      <c r="D6" s="10"/>
      <c r="E6" s="11" t="s">
        <v>38</v>
      </c>
      <c r="F6" s="11" t="s">
        <v>41</v>
      </c>
      <c r="G6" s="12" t="s">
        <v>42</v>
      </c>
      <c r="H6" s="11" t="s">
        <v>45</v>
      </c>
      <c r="I6" s="13" t="s">
        <v>41</v>
      </c>
      <c r="J6" s="11" t="s">
        <v>25</v>
      </c>
      <c r="K6" s="11"/>
      <c r="L6" s="11"/>
    </row>
    <row r="7" spans="1:15">
      <c r="A7" s="86" t="s">
        <v>44</v>
      </c>
      <c r="B7" s="87"/>
      <c r="C7" s="87"/>
      <c r="D7" s="10"/>
      <c r="E7" s="11" t="s">
        <v>39</v>
      </c>
      <c r="F7" s="181" t="s">
        <v>167</v>
      </c>
      <c r="G7" s="12" t="s">
        <v>43</v>
      </c>
      <c r="H7" s="11" t="s">
        <v>46</v>
      </c>
      <c r="I7" s="182" t="s">
        <v>165</v>
      </c>
      <c r="J7" s="11" t="s">
        <v>26</v>
      </c>
      <c r="K7" s="15" t="s">
        <v>48</v>
      </c>
      <c r="L7" s="11" t="s">
        <v>28</v>
      </c>
    </row>
    <row r="8" spans="1:15">
      <c r="A8" s="9"/>
      <c r="B8" s="10"/>
      <c r="C8" s="10"/>
      <c r="D8" s="10"/>
      <c r="E8" s="11" t="s">
        <v>40</v>
      </c>
      <c r="F8" s="14"/>
      <c r="G8" s="16"/>
      <c r="H8" s="11" t="s">
        <v>47</v>
      </c>
      <c r="I8" s="13"/>
      <c r="J8" s="11" t="s">
        <v>27</v>
      </c>
      <c r="K8" s="11" t="s">
        <v>49</v>
      </c>
      <c r="L8" s="11"/>
    </row>
    <row r="9" spans="1:15">
      <c r="A9" s="17"/>
      <c r="B9" s="18"/>
      <c r="C9" s="18"/>
      <c r="D9" s="18"/>
      <c r="E9" s="19"/>
      <c r="F9" s="45"/>
      <c r="G9" s="16"/>
      <c r="H9" s="221"/>
      <c r="I9" s="20"/>
      <c r="J9" s="21"/>
      <c r="K9" s="22"/>
      <c r="L9" s="22"/>
    </row>
    <row r="10" spans="1:15">
      <c r="A10" s="23" t="s">
        <v>50</v>
      </c>
      <c r="B10" s="24"/>
      <c r="C10" s="24"/>
      <c r="D10" s="25"/>
      <c r="E10" s="7"/>
      <c r="F10" s="7"/>
      <c r="G10" s="95"/>
      <c r="H10" s="95"/>
      <c r="I10" s="95"/>
      <c r="J10" s="10"/>
      <c r="K10" s="7"/>
      <c r="L10" s="7"/>
      <c r="M10" s="180" t="s">
        <v>163</v>
      </c>
      <c r="N10" s="180" t="s">
        <v>164</v>
      </c>
    </row>
    <row r="11" spans="1:15">
      <c r="A11" s="26" t="s">
        <v>51</v>
      </c>
      <c r="B11" s="25"/>
      <c r="C11" s="25"/>
      <c r="D11" s="25"/>
      <c r="E11" s="27"/>
      <c r="F11" s="27"/>
      <c r="G11" s="96"/>
      <c r="H11" s="96"/>
      <c r="I11" s="96"/>
      <c r="J11" s="28"/>
      <c r="K11" s="27"/>
      <c r="L11" s="27"/>
      <c r="M11" s="177">
        <v>910990.84</v>
      </c>
      <c r="N11" s="177">
        <v>2125645.29</v>
      </c>
      <c r="O11" s="179">
        <f>SUM(M11:N11)</f>
        <v>3036636.13</v>
      </c>
    </row>
    <row r="12" spans="1:15" ht="12.75">
      <c r="A12" s="26" t="s">
        <v>52</v>
      </c>
      <c r="B12" s="25"/>
      <c r="C12" s="25"/>
      <c r="D12" s="25"/>
      <c r="E12" s="29"/>
      <c r="F12" s="177">
        <v>1897753.11</v>
      </c>
      <c r="G12" s="101">
        <v>18155601.129999999</v>
      </c>
      <c r="H12" s="101">
        <v>12749878.970000001</v>
      </c>
      <c r="I12" s="101">
        <f>F12+G12-H12</f>
        <v>7303475.2699999977</v>
      </c>
      <c r="J12" s="10"/>
      <c r="K12" s="29"/>
      <c r="L12" s="29"/>
      <c r="M12" s="177">
        <v>454080.81</v>
      </c>
      <c r="N12" s="177">
        <v>1059521.8899999999</v>
      </c>
      <c r="O12" s="179">
        <f t="shared" ref="O12:O22" si="0">SUM(M12:N12)</f>
        <v>1513602.7</v>
      </c>
    </row>
    <row r="13" spans="1:15" ht="12.75">
      <c r="A13" s="26" t="s">
        <v>53</v>
      </c>
      <c r="B13" s="25"/>
      <c r="C13" s="25"/>
      <c r="D13" s="30"/>
      <c r="E13" s="7"/>
      <c r="F13" s="7"/>
      <c r="G13" s="102"/>
      <c r="H13" s="102"/>
      <c r="I13" s="102"/>
      <c r="J13" s="2"/>
      <c r="K13" s="7"/>
      <c r="L13" s="7"/>
      <c r="M13" s="177">
        <v>763923.74</v>
      </c>
      <c r="N13" s="177">
        <v>1782488.73</v>
      </c>
      <c r="O13" s="179">
        <f t="shared" si="0"/>
        <v>2546412.4699999997</v>
      </c>
    </row>
    <row r="14" spans="1:15" ht="12.75">
      <c r="A14" s="31" t="s">
        <v>54</v>
      </c>
      <c r="B14" s="10"/>
      <c r="C14" s="10"/>
      <c r="D14" s="10"/>
      <c r="E14" s="27"/>
      <c r="F14" s="27"/>
      <c r="G14" s="94"/>
      <c r="H14" s="94"/>
      <c r="I14" s="94"/>
      <c r="J14" s="28"/>
      <c r="K14" s="27"/>
      <c r="L14" s="27"/>
      <c r="M14" s="177">
        <v>388834.57</v>
      </c>
      <c r="N14" s="177">
        <v>907280.66</v>
      </c>
      <c r="O14" s="179">
        <f t="shared" si="0"/>
        <v>1296115.23</v>
      </c>
    </row>
    <row r="15" spans="1:15">
      <c r="A15" s="32" t="s">
        <v>55</v>
      </c>
      <c r="B15" s="3"/>
      <c r="C15" s="3"/>
      <c r="D15" s="3"/>
      <c r="E15" s="405"/>
      <c r="F15" s="405"/>
      <c r="G15" s="407"/>
      <c r="H15" s="407"/>
      <c r="I15" s="407"/>
      <c r="J15" s="405"/>
      <c r="K15" s="405"/>
      <c r="L15" s="405"/>
      <c r="M15" s="177">
        <v>421446.22</v>
      </c>
      <c r="N15" s="177">
        <v>983374.51</v>
      </c>
      <c r="O15" s="179">
        <f t="shared" si="0"/>
        <v>1404820.73</v>
      </c>
    </row>
    <row r="16" spans="1:15">
      <c r="A16" s="33" t="s">
        <v>56</v>
      </c>
      <c r="B16" s="18"/>
      <c r="C16" s="18"/>
      <c r="D16" s="18"/>
      <c r="E16" s="406"/>
      <c r="F16" s="406"/>
      <c r="G16" s="408"/>
      <c r="H16" s="408"/>
      <c r="I16" s="408"/>
      <c r="J16" s="406"/>
      <c r="K16" s="406"/>
      <c r="L16" s="406"/>
      <c r="M16" s="177">
        <v>789237.05</v>
      </c>
      <c r="N16" s="177">
        <v>1841553.12</v>
      </c>
      <c r="O16" s="179">
        <f t="shared" si="0"/>
        <v>2630790.17</v>
      </c>
    </row>
    <row r="17" spans="1:15" ht="12.75">
      <c r="A17" s="34" t="s">
        <v>69</v>
      </c>
      <c r="B17" s="18"/>
      <c r="C17" s="18"/>
      <c r="D17" s="18"/>
      <c r="E17" s="21"/>
      <c r="F17" s="158">
        <f>8736531.71</f>
        <v>8736531.7100000009</v>
      </c>
      <c r="G17" s="103">
        <v>7780971.9199999999</v>
      </c>
      <c r="H17" s="103">
        <v>11666694.060000001</v>
      </c>
      <c r="I17" s="101">
        <f>F17+G17-H17</f>
        <v>4850809.57</v>
      </c>
      <c r="J17" s="10"/>
      <c r="K17" s="29"/>
      <c r="L17" s="29"/>
      <c r="M17" s="177">
        <v>80821.679999999993</v>
      </c>
      <c r="N17" s="177">
        <v>188583.92</v>
      </c>
      <c r="O17" s="179">
        <f t="shared" si="0"/>
        <v>269405.59999999998</v>
      </c>
    </row>
    <row r="18" spans="1:15">
      <c r="A18" s="26" t="s">
        <v>4</v>
      </c>
      <c r="B18" s="25"/>
      <c r="C18" s="25"/>
      <c r="D18" s="25"/>
      <c r="E18" s="29"/>
      <c r="F18" s="29"/>
      <c r="G18" s="95"/>
      <c r="H18" s="96"/>
      <c r="I18" s="96"/>
      <c r="J18" s="28"/>
      <c r="K18" s="27"/>
      <c r="L18" s="27"/>
      <c r="M18" s="177">
        <v>447162.6</v>
      </c>
      <c r="N18" s="177">
        <v>1043379.39</v>
      </c>
      <c r="O18" s="179">
        <f t="shared" si="0"/>
        <v>1490541.99</v>
      </c>
    </row>
    <row r="19" spans="1:15" ht="12.75">
      <c r="A19" s="35" t="s">
        <v>5</v>
      </c>
      <c r="B19" s="25"/>
      <c r="C19" s="25"/>
      <c r="D19" s="25"/>
      <c r="E19" s="27"/>
      <c r="F19" s="96">
        <v>300000</v>
      </c>
      <c r="G19" s="30"/>
      <c r="H19" s="98">
        <v>289860</v>
      </c>
      <c r="I19" s="101">
        <f>F19+G19-H19</f>
        <v>10140</v>
      </c>
      <c r="J19" s="10"/>
      <c r="K19" s="29"/>
      <c r="L19" s="29"/>
      <c r="M19" s="177">
        <v>839825.34</v>
      </c>
      <c r="N19" s="177">
        <v>1959592.46</v>
      </c>
      <c r="O19" s="179">
        <f t="shared" si="0"/>
        <v>2799417.8</v>
      </c>
    </row>
    <row r="20" spans="1:15">
      <c r="A20" s="35" t="s">
        <v>6</v>
      </c>
      <c r="B20" s="25"/>
      <c r="C20" s="25"/>
      <c r="D20" s="25"/>
      <c r="E20" s="21"/>
      <c r="F20" s="21"/>
      <c r="G20" s="98"/>
      <c r="H20" s="98"/>
      <c r="I20" s="96"/>
      <c r="J20" s="28"/>
      <c r="K20" s="27"/>
      <c r="L20" s="27"/>
      <c r="M20" s="177">
        <v>771976.25</v>
      </c>
      <c r="N20" s="177">
        <v>1801277.91</v>
      </c>
      <c r="O20" s="179">
        <f t="shared" si="0"/>
        <v>2573254.16</v>
      </c>
    </row>
    <row r="21" spans="1:15">
      <c r="A21" s="36" t="s">
        <v>57</v>
      </c>
      <c r="B21" s="25"/>
      <c r="C21" s="25"/>
      <c r="D21" s="25"/>
      <c r="E21" s="7"/>
      <c r="F21" s="7"/>
      <c r="G21" s="95"/>
      <c r="H21" s="95"/>
      <c r="I21" s="96"/>
      <c r="J21" s="10"/>
      <c r="K21" s="29"/>
      <c r="L21" s="29"/>
      <c r="M21" s="177">
        <v>160846.51999999999</v>
      </c>
      <c r="N21" s="177">
        <v>375308.55</v>
      </c>
      <c r="O21" s="179">
        <f t="shared" si="0"/>
        <v>536155.06999999995</v>
      </c>
    </row>
    <row r="22" spans="1:15">
      <c r="A22" s="36" t="s">
        <v>58</v>
      </c>
      <c r="B22" s="25"/>
      <c r="C22" s="25"/>
      <c r="D22" s="25"/>
      <c r="E22" s="27"/>
      <c r="F22" s="27"/>
      <c r="G22" s="96"/>
      <c r="H22" s="96"/>
      <c r="I22" s="97"/>
      <c r="J22" s="28"/>
      <c r="K22" s="27"/>
      <c r="L22" s="27"/>
      <c r="M22" s="177">
        <v>1751826.3</v>
      </c>
      <c r="N22" s="177">
        <v>4087594.7</v>
      </c>
      <c r="O22" s="179">
        <f t="shared" si="0"/>
        <v>5839421</v>
      </c>
    </row>
    <row r="23" spans="1:15">
      <c r="A23" s="36" t="s">
        <v>59</v>
      </c>
      <c r="B23" s="25"/>
      <c r="C23" s="25"/>
      <c r="D23" s="25"/>
      <c r="E23" s="29"/>
      <c r="F23" s="29"/>
      <c r="G23" s="97"/>
      <c r="H23" s="97"/>
      <c r="I23" s="96"/>
      <c r="J23" s="10"/>
      <c r="K23" s="29"/>
      <c r="L23" s="29"/>
      <c r="M23" s="155">
        <f>SUM(M11:M22)</f>
        <v>7780971.919999999</v>
      </c>
      <c r="N23" s="178">
        <f>SUM(N11:N22)</f>
        <v>18155601.129999999</v>
      </c>
      <c r="O23" s="179">
        <f>SUM(M23:N23)</f>
        <v>25936573.049999997</v>
      </c>
    </row>
    <row r="24" spans="1:15">
      <c r="A24" s="37" t="s">
        <v>60</v>
      </c>
      <c r="B24" s="3"/>
      <c r="C24" s="3"/>
      <c r="D24" s="3"/>
      <c r="E24" s="7"/>
      <c r="F24" s="7"/>
      <c r="G24" s="95"/>
      <c r="H24" s="95"/>
      <c r="I24" s="97"/>
      <c r="J24" s="28"/>
      <c r="K24" s="27"/>
      <c r="L24" s="27"/>
      <c r="O24" s="179">
        <f>SUM(O11:O22)</f>
        <v>25936573.050000001</v>
      </c>
    </row>
    <row r="25" spans="1:15">
      <c r="A25" s="36" t="s">
        <v>169</v>
      </c>
      <c r="B25" s="25"/>
      <c r="C25" s="25"/>
      <c r="D25" s="30"/>
      <c r="E25" s="27"/>
      <c r="F25" s="27"/>
      <c r="G25" s="96"/>
      <c r="H25" s="99"/>
      <c r="I25" s="96">
        <v>11930281.939999999</v>
      </c>
      <c r="J25" s="25"/>
      <c r="K25" s="27"/>
      <c r="L25" s="27"/>
    </row>
    <row r="26" spans="1:15">
      <c r="A26" s="23" t="s">
        <v>61</v>
      </c>
      <c r="B26" s="25"/>
      <c r="C26" s="25"/>
      <c r="D26" s="30"/>
      <c r="E26" s="27"/>
      <c r="F26" s="96">
        <f>SUM(F10:F25)</f>
        <v>10934284.82</v>
      </c>
      <c r="G26" s="96">
        <f>SUM(G10:G25)</f>
        <v>25936573.049999997</v>
      </c>
      <c r="H26" s="99">
        <f>SUM(H10:H25)</f>
        <v>24706433.030000001</v>
      </c>
      <c r="I26" s="96">
        <f>SUM(I12:I25)</f>
        <v>24094706.779999997</v>
      </c>
      <c r="J26" s="25"/>
      <c r="K26" s="27"/>
      <c r="L26" s="27"/>
      <c r="M26" s="177">
        <f>F26+G26-H26</f>
        <v>12164424.839999996</v>
      </c>
    </row>
    <row r="27" spans="1:15" ht="12.75">
      <c r="A27" s="33"/>
      <c r="B27" s="18"/>
      <c r="C27" s="18"/>
      <c r="D27" s="18"/>
      <c r="E27" s="17"/>
      <c r="F27" s="21"/>
      <c r="G27" s="98"/>
      <c r="H27" s="100"/>
      <c r="I27" s="98"/>
      <c r="J27" s="10"/>
      <c r="K27" s="21"/>
      <c r="L27" s="21"/>
      <c r="M27" s="177">
        <f>I26-M26</f>
        <v>11930281.940000001</v>
      </c>
      <c r="N27" s="101" t="e">
        <f>#REF!</f>
        <v>#REF!</v>
      </c>
    </row>
    <row r="28" spans="1:15" ht="12.75">
      <c r="A28" s="35"/>
      <c r="B28" s="25"/>
      <c r="C28" s="25"/>
      <c r="D28" s="25"/>
      <c r="E28" s="21"/>
      <c r="F28" s="21"/>
      <c r="G28" s="98"/>
      <c r="H28" s="98"/>
      <c r="I28" s="96" t="s">
        <v>199</v>
      </c>
      <c r="J28" s="27"/>
      <c r="K28" s="27"/>
      <c r="L28" s="27"/>
      <c r="M28" s="177">
        <v>13450281.960000001</v>
      </c>
      <c r="N28" s="102" t="e">
        <f>#REF!</f>
        <v>#REF!</v>
      </c>
    </row>
    <row r="29" spans="1:15" ht="12.75">
      <c r="A29" s="23" t="s">
        <v>62</v>
      </c>
      <c r="B29" s="25"/>
      <c r="C29" s="25"/>
      <c r="D29" s="25"/>
      <c r="E29" s="29"/>
      <c r="F29" s="29"/>
      <c r="G29" s="97"/>
      <c r="H29" s="97"/>
      <c r="I29" s="96"/>
      <c r="J29" s="10"/>
      <c r="K29" s="27"/>
      <c r="L29" s="27"/>
      <c r="M29" s="177">
        <f>M27-M28</f>
        <v>-1520000.0199999996</v>
      </c>
      <c r="N29" s="94" t="e">
        <f>#REF!</f>
        <v>#REF!</v>
      </c>
    </row>
    <row r="30" spans="1:15" ht="12" customHeight="1">
      <c r="A30" s="35" t="s">
        <v>63</v>
      </c>
      <c r="B30" s="25"/>
      <c r="C30" s="25"/>
      <c r="D30" s="25"/>
      <c r="E30" s="27"/>
      <c r="F30" s="27"/>
      <c r="G30" s="96"/>
      <c r="H30" s="96"/>
      <c r="I30" s="97"/>
      <c r="J30" s="28"/>
      <c r="K30" s="29"/>
      <c r="L30" s="29"/>
      <c r="N30" s="407" t="e">
        <f>#REF!</f>
        <v>#REF!</v>
      </c>
    </row>
    <row r="31" spans="1:15" ht="12" customHeight="1">
      <c r="A31" s="35" t="s">
        <v>57</v>
      </c>
      <c r="B31" s="25"/>
      <c r="C31" s="25"/>
      <c r="D31" s="25"/>
      <c r="E31" s="29"/>
      <c r="F31" s="29"/>
      <c r="G31" s="97"/>
      <c r="H31" s="97"/>
      <c r="I31" s="96"/>
      <c r="J31" s="10"/>
      <c r="K31" s="27"/>
      <c r="L31" s="27"/>
      <c r="N31" s="408"/>
    </row>
    <row r="32" spans="1:15" ht="12.75">
      <c r="A32" s="35" t="s">
        <v>4</v>
      </c>
      <c r="B32" s="25"/>
      <c r="C32" s="25"/>
      <c r="D32" s="25"/>
      <c r="E32" s="27"/>
      <c r="F32" s="27"/>
      <c r="G32" s="96"/>
      <c r="H32" s="96"/>
      <c r="I32" s="96"/>
      <c r="J32" s="28"/>
      <c r="K32" s="29"/>
      <c r="L32" s="29"/>
      <c r="N32" s="101" t="e">
        <f>#REF!</f>
        <v>#REF!</v>
      </c>
    </row>
    <row r="33" spans="1:14">
      <c r="A33" s="38" t="s">
        <v>64</v>
      </c>
      <c r="B33" s="25"/>
      <c r="C33" s="25"/>
      <c r="D33" s="30"/>
      <c r="E33" s="21"/>
      <c r="F33" s="21"/>
      <c r="G33" s="98"/>
      <c r="H33" s="98"/>
      <c r="I33" s="98"/>
      <c r="J33" s="28"/>
      <c r="K33" s="27"/>
      <c r="L33" s="27"/>
      <c r="N33" s="96" t="e">
        <f>#REF!</f>
        <v>#REF!</v>
      </c>
    </row>
    <row r="34" spans="1:14" ht="12.75">
      <c r="A34" s="39" t="s">
        <v>65</v>
      </c>
      <c r="B34" s="10"/>
      <c r="C34" s="10"/>
      <c r="D34" s="10"/>
      <c r="E34" s="7"/>
      <c r="F34" s="7"/>
      <c r="G34" s="95"/>
      <c r="H34" s="95"/>
      <c r="I34" s="95"/>
      <c r="J34" s="7"/>
      <c r="K34" s="7"/>
      <c r="L34" s="7"/>
      <c r="N34" s="101" t="e">
        <f>#REF!</f>
        <v>#REF!</v>
      </c>
    </row>
    <row r="35" spans="1:14">
      <c r="A35" s="36" t="s">
        <v>66</v>
      </c>
      <c r="B35" s="25"/>
      <c r="C35" s="25"/>
      <c r="D35" s="25"/>
      <c r="E35" s="27"/>
      <c r="F35" s="27"/>
      <c r="G35" s="96"/>
      <c r="H35" s="96"/>
      <c r="I35" s="96"/>
      <c r="J35" s="27"/>
      <c r="K35" s="27"/>
      <c r="L35" s="27"/>
      <c r="N35" s="96" t="e">
        <f>#REF!</f>
        <v>#REF!</v>
      </c>
    </row>
    <row r="36" spans="1:14">
      <c r="A36" s="38"/>
      <c r="B36" s="25"/>
      <c r="C36" s="18"/>
      <c r="D36" s="25"/>
      <c r="E36" s="29"/>
      <c r="F36" s="29"/>
      <c r="G36" s="97"/>
      <c r="H36" s="97"/>
      <c r="I36" s="97"/>
      <c r="J36" s="29"/>
      <c r="K36" s="29"/>
      <c r="L36" s="29"/>
      <c r="N36" s="96" t="e">
        <f>#REF!</f>
        <v>#REF!</v>
      </c>
    </row>
    <row r="37" spans="1:14" ht="15" customHeight="1">
      <c r="A37" s="23" t="s">
        <v>61</v>
      </c>
      <c r="B37" s="25"/>
      <c r="C37" s="25"/>
      <c r="D37" s="25"/>
      <c r="E37" s="27"/>
      <c r="F37" s="27"/>
      <c r="G37" s="96"/>
      <c r="H37" s="96"/>
      <c r="I37" s="96"/>
      <c r="J37" s="27"/>
      <c r="K37" s="27"/>
      <c r="L37" s="27"/>
      <c r="N37" s="97" t="e">
        <f>#REF!</f>
        <v>#REF!</v>
      </c>
    </row>
    <row r="38" spans="1:14" ht="15" customHeight="1">
      <c r="A38" s="23" t="s">
        <v>67</v>
      </c>
      <c r="B38" s="25"/>
      <c r="C38" s="25"/>
      <c r="D38" s="25"/>
      <c r="E38" s="21"/>
      <c r="F38" s="98">
        <f>F26+F37</f>
        <v>10934284.82</v>
      </c>
      <c r="G38" s="98">
        <f>G26+G37</f>
        <v>25936573.049999997</v>
      </c>
      <c r="H38" s="98">
        <f>H26+H37</f>
        <v>24706433.030000001</v>
      </c>
      <c r="I38" s="98">
        <f>I26+I37</f>
        <v>24094706.779999997</v>
      </c>
      <c r="J38" s="21"/>
      <c r="K38" s="21"/>
      <c r="L38" s="21"/>
      <c r="N38" s="96" t="e">
        <f>#REF!</f>
        <v>#REF!</v>
      </c>
    </row>
    <row r="39" spans="1:14">
      <c r="A39" s="4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N39" s="97" t="e">
        <f>#REF!</f>
        <v>#REF!</v>
      </c>
    </row>
    <row r="40" spans="1:14">
      <c r="A40" s="4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N40" s="96" t="e">
        <f>#REF!</f>
        <v>#REF!</v>
      </c>
    </row>
    <row r="41" spans="1:14">
      <c r="A41" s="10"/>
      <c r="B41" s="10"/>
      <c r="C41" s="10"/>
      <c r="D41" s="10" t="s">
        <v>29</v>
      </c>
      <c r="E41" s="10"/>
      <c r="F41" s="10"/>
      <c r="G41" s="10"/>
      <c r="H41" s="10"/>
      <c r="I41" s="10"/>
      <c r="J41" s="10" t="s">
        <v>32</v>
      </c>
      <c r="N41" s="96" t="e">
        <f>#REF!</f>
        <v>#REF!</v>
      </c>
    </row>
    <row r="42" spans="1:14">
      <c r="A42" s="10"/>
      <c r="B42" s="10"/>
      <c r="C42" s="10"/>
      <c r="D42" s="10"/>
      <c r="E42" s="10"/>
      <c r="F42" s="10"/>
      <c r="G42" s="10"/>
      <c r="H42" s="10"/>
      <c r="I42" s="10"/>
      <c r="J42" s="10"/>
      <c r="N42" s="98" t="e">
        <f>#REF!</f>
        <v>#REF!</v>
      </c>
    </row>
    <row r="43" spans="1:14">
      <c r="A43" s="10"/>
      <c r="B43" s="10"/>
      <c r="C43" s="10"/>
      <c r="D43" s="10"/>
      <c r="E43" s="10"/>
      <c r="F43" s="10"/>
      <c r="G43" s="10"/>
      <c r="H43" s="163"/>
      <c r="I43" s="10"/>
      <c r="J43" s="10"/>
      <c r="N43" s="97" t="e">
        <f>#REF!</f>
        <v>#REF!</v>
      </c>
    </row>
    <row r="44" spans="1:14" ht="12.75">
      <c r="E44" s="46" t="s">
        <v>72</v>
      </c>
      <c r="G44" s="179"/>
      <c r="I44" s="104" t="s">
        <v>73</v>
      </c>
      <c r="N44" s="96" t="e">
        <f>#REF!</f>
        <v>#REF!</v>
      </c>
    </row>
    <row r="45" spans="1:14">
      <c r="D45" s="41" t="s">
        <v>30</v>
      </c>
      <c r="E45" s="105"/>
      <c r="J45" s="42" t="s">
        <v>33</v>
      </c>
      <c r="N45" s="97" t="e">
        <f>#REF!</f>
        <v>#REF!</v>
      </c>
    </row>
    <row r="46" spans="1:14">
      <c r="D46" s="43"/>
      <c r="E46" s="105"/>
      <c r="J46" s="43"/>
      <c r="N46" s="96" t="e">
        <f>#REF!</f>
        <v>#REF!</v>
      </c>
    </row>
    <row r="47" spans="1:14">
      <c r="A47" s="1" t="s">
        <v>34</v>
      </c>
      <c r="I47" s="205">
        <f>SUM(I12:I19)</f>
        <v>12164424.839999998</v>
      </c>
      <c r="N47" s="98" t="e">
        <f>#REF!</f>
        <v>#REF!</v>
      </c>
    </row>
    <row r="48" spans="1:14">
      <c r="A48" s="1" t="s">
        <v>35</v>
      </c>
      <c r="N48" s="95" t="e">
        <f>#REF!</f>
        <v>#REF!</v>
      </c>
    </row>
    <row r="49" spans="1:14">
      <c r="A49" s="1" t="s">
        <v>36</v>
      </c>
      <c r="N49" s="96" t="e">
        <f>#REF!</f>
        <v>#REF!</v>
      </c>
    </row>
    <row r="50" spans="1:14">
      <c r="N50" s="97" t="e">
        <f>#REF!</f>
        <v>#REF!</v>
      </c>
    </row>
    <row r="51" spans="1:14">
      <c r="N51" s="96" t="e">
        <f>#REF!</f>
        <v>#REF!</v>
      </c>
    </row>
    <row r="52" spans="1:14">
      <c r="I52" s="177">
        <v>24094706.780000001</v>
      </c>
      <c r="N52" s="98" t="e">
        <f>#REF!</f>
        <v>#REF!</v>
      </c>
    </row>
    <row r="53" spans="1:14">
      <c r="I53" s="179">
        <f>I38-I52</f>
        <v>0</v>
      </c>
    </row>
    <row r="54" spans="1:14" ht="12.75">
      <c r="H54" s="94">
        <v>9670281.9600000009</v>
      </c>
      <c r="I54" s="94">
        <v>2260000</v>
      </c>
    </row>
    <row r="55" spans="1:14">
      <c r="N55" s="177">
        <v>24708913.030000001</v>
      </c>
    </row>
    <row r="56" spans="1:14">
      <c r="N56" s="177">
        <v>12778631.07</v>
      </c>
    </row>
    <row r="57" spans="1:14">
      <c r="I57" s="177"/>
      <c r="L57" s="177">
        <v>650000</v>
      </c>
      <c r="N57" s="177">
        <f>N55-N56</f>
        <v>11930281.960000001</v>
      </c>
    </row>
    <row r="58" spans="1:14">
      <c r="H58" s="177">
        <v>33774597.039999999</v>
      </c>
      <c r="I58" s="177">
        <v>33774597.039999999</v>
      </c>
      <c r="J58" s="177">
        <v>59413408.43</v>
      </c>
      <c r="L58" s="179">
        <f>L57*5</f>
        <v>3250000</v>
      </c>
    </row>
    <row r="59" spans="1:14">
      <c r="H59" s="177">
        <v>-2007818.69</v>
      </c>
      <c r="I59" s="177">
        <v>1926412.34</v>
      </c>
      <c r="J59" s="177">
        <v>8274143.3399999999</v>
      </c>
      <c r="L59" s="177">
        <v>100000</v>
      </c>
    </row>
    <row r="60" spans="1:14">
      <c r="H60" s="177">
        <f>SUM(H58:H59)</f>
        <v>31766778.349999998</v>
      </c>
      <c r="I60" s="177">
        <f>SUM(I58:I59)</f>
        <v>35701009.380000003</v>
      </c>
      <c r="J60" s="177">
        <v>8530150.3000000007</v>
      </c>
      <c r="L60" s="179">
        <f>L58-L59</f>
        <v>3150000</v>
      </c>
    </row>
    <row r="61" spans="1:14">
      <c r="G61" s="177">
        <v>1926412.34</v>
      </c>
      <c r="H61" s="177">
        <v>1401788.7</v>
      </c>
      <c r="I61" s="177">
        <v>4323383.54</v>
      </c>
      <c r="J61" s="177">
        <v>568586.64</v>
      </c>
    </row>
    <row r="62" spans="1:14">
      <c r="G62" s="177">
        <v>324623.64</v>
      </c>
      <c r="H62" s="177">
        <f>SUM(H60:H61)</f>
        <v>33168567.049999997</v>
      </c>
      <c r="I62" s="177">
        <f>I60+I61</f>
        <v>40024392.920000002</v>
      </c>
      <c r="J62" s="177">
        <v>3020311.52</v>
      </c>
    </row>
    <row r="63" spans="1:14">
      <c r="G63" s="177">
        <f>G61-G62</f>
        <v>1601788.7000000002</v>
      </c>
      <c r="H63" s="177">
        <v>4323383.54</v>
      </c>
      <c r="I63" s="177">
        <v>38226347.060000002</v>
      </c>
      <c r="J63" s="177">
        <v>63258313.549999997</v>
      </c>
      <c r="L63" s="177"/>
    </row>
    <row r="64" spans="1:14">
      <c r="G64" s="177"/>
      <c r="H64" s="177">
        <f>H62-H63</f>
        <v>28845183.509999998</v>
      </c>
      <c r="I64" s="177">
        <f>I62-I63</f>
        <v>1798045.8599999994</v>
      </c>
      <c r="J64" s="177">
        <f>J58-J59+J60+J61+J62</f>
        <v>63258313.550000004</v>
      </c>
      <c r="L64" s="177">
        <v>1360</v>
      </c>
    </row>
    <row r="65" spans="7:12">
      <c r="G65" s="177"/>
      <c r="H65" s="177">
        <v>31629156.780000001</v>
      </c>
      <c r="I65" s="177"/>
      <c r="J65" s="177"/>
      <c r="L65" s="177">
        <v>500</v>
      </c>
    </row>
    <row r="66" spans="7:12">
      <c r="G66" s="177"/>
      <c r="H66" s="177">
        <f>H64-H65</f>
        <v>-2783973.2700000033</v>
      </c>
      <c r="I66" s="177"/>
      <c r="J66" s="177">
        <f>J58-J59</f>
        <v>51139265.090000004</v>
      </c>
      <c r="L66" s="177">
        <v>500</v>
      </c>
    </row>
    <row r="67" spans="7:12">
      <c r="G67" s="177"/>
      <c r="H67" s="177"/>
      <c r="I67" s="177"/>
      <c r="J67" s="177">
        <f>J60+J61</f>
        <v>9098736.9400000013</v>
      </c>
      <c r="L67" s="177">
        <v>500</v>
      </c>
    </row>
    <row r="68" spans="7:12">
      <c r="G68" s="177"/>
      <c r="H68" s="179"/>
      <c r="I68" s="177"/>
      <c r="J68" s="177">
        <f>SUM(J66:J67)</f>
        <v>60238002.030000001</v>
      </c>
      <c r="L68" s="177">
        <v>500</v>
      </c>
    </row>
    <row r="69" spans="7:12">
      <c r="G69" s="177"/>
      <c r="H69" s="177">
        <v>19453703.420000002</v>
      </c>
      <c r="I69" s="177"/>
      <c r="J69" s="177">
        <f>J68-J63</f>
        <v>-3020311.5199999958</v>
      </c>
      <c r="L69" s="177">
        <v>1000</v>
      </c>
    </row>
    <row r="70" spans="7:12">
      <c r="G70" s="177"/>
      <c r="H70" s="177"/>
      <c r="I70" s="177"/>
      <c r="J70" s="177"/>
      <c r="L70" s="177">
        <v>500</v>
      </c>
    </row>
    <row r="71" spans="7:12">
      <c r="H71" s="177"/>
      <c r="I71" s="177"/>
      <c r="L71" s="177">
        <f>SUM(L64:L70)</f>
        <v>4860</v>
      </c>
    </row>
    <row r="72" spans="7:12">
      <c r="G72" s="177"/>
      <c r="H72" s="177"/>
      <c r="I72" s="177"/>
    </row>
    <row r="73" spans="7:12">
      <c r="G73" s="177">
        <v>1897753.11</v>
      </c>
      <c r="H73" s="177">
        <v>24708913.030000001</v>
      </c>
      <c r="I73" s="177">
        <v>1897753.11</v>
      </c>
    </row>
    <row r="74" spans="7:12">
      <c r="G74" s="177">
        <v>11930281.960000001</v>
      </c>
      <c r="H74" s="177">
        <v>0</v>
      </c>
      <c r="I74" s="177">
        <v>11930281.960000001</v>
      </c>
    </row>
    <row r="75" spans="7:12">
      <c r="G75" s="177">
        <v>8736531.7100000009</v>
      </c>
      <c r="H75" s="177">
        <f>SUM(H73:H74)</f>
        <v>24708913.030000001</v>
      </c>
      <c r="I75" s="177">
        <v>8736531.7100000009</v>
      </c>
    </row>
    <row r="76" spans="7:12">
      <c r="G76" s="177">
        <f>SUM(G73:G75)</f>
        <v>22564566.780000001</v>
      </c>
      <c r="H76" s="177">
        <f>G78-H75</f>
        <v>23792226.780000001</v>
      </c>
      <c r="I76" s="177">
        <f>SUM(I73:I75)</f>
        <v>22564566.780000001</v>
      </c>
    </row>
    <row r="77" spans="7:12">
      <c r="G77" s="177">
        <v>25936573.030000001</v>
      </c>
      <c r="H77" s="177"/>
      <c r="I77" s="177">
        <v>1227660</v>
      </c>
    </row>
    <row r="78" spans="7:12">
      <c r="G78" s="177">
        <f>G76+G77</f>
        <v>48501139.810000002</v>
      </c>
      <c r="H78" s="177"/>
      <c r="I78" s="177">
        <f>SUM(I76:I77)</f>
        <v>23792226.780000001</v>
      </c>
    </row>
    <row r="79" spans="7:12">
      <c r="G79" s="177">
        <v>24708913.030000001</v>
      </c>
      <c r="H79" s="177"/>
      <c r="I79" s="177">
        <v>24094706.780000001</v>
      </c>
    </row>
    <row r="80" spans="7:12">
      <c r="G80" s="177">
        <f>G78-G79</f>
        <v>23792226.780000001</v>
      </c>
      <c r="I80" s="177">
        <f>I78-I79</f>
        <v>-302480</v>
      </c>
    </row>
    <row r="81" spans="7:9" ht="12.75">
      <c r="G81" s="177"/>
      <c r="H81" s="109">
        <v>9230293.3200000003</v>
      </c>
      <c r="I81" s="177">
        <v>289860</v>
      </c>
    </row>
    <row r="82" spans="7:9" ht="12.75">
      <c r="G82" s="177">
        <v>1000</v>
      </c>
      <c r="H82" s="109">
        <v>8366854.71</v>
      </c>
      <c r="I82" s="177">
        <f>SUM(I80:I81)</f>
        <v>-12620</v>
      </c>
    </row>
    <row r="83" spans="7:9" ht="12.75">
      <c r="G83" s="177">
        <v>4296.3599999999997</v>
      </c>
      <c r="H83" s="109">
        <v>7111765</v>
      </c>
    </row>
    <row r="84" spans="7:9" ht="12.75">
      <c r="G84" s="177">
        <v>3000</v>
      </c>
      <c r="H84" s="109">
        <f>SUM(H81:H83)</f>
        <v>24708913.030000001</v>
      </c>
      <c r="I84" s="177">
        <v>10140</v>
      </c>
    </row>
    <row r="85" spans="7:9">
      <c r="G85" s="177">
        <v>10000</v>
      </c>
      <c r="H85" s="177">
        <v>24706433.030000001</v>
      </c>
      <c r="I85" s="177">
        <v>2480</v>
      </c>
    </row>
    <row r="86" spans="7:9">
      <c r="G86" s="177">
        <v>13000</v>
      </c>
      <c r="H86" s="179">
        <f>H84-H85</f>
        <v>2480</v>
      </c>
      <c r="I86" s="177">
        <f>SUM(I84:I85)</f>
        <v>12620</v>
      </c>
    </row>
    <row r="87" spans="7:9">
      <c r="G87" s="177">
        <f>SUM(G82:G86)</f>
        <v>31296.36</v>
      </c>
    </row>
    <row r="88" spans="7:9">
      <c r="H88" s="177">
        <v>24708913.030000001</v>
      </c>
    </row>
    <row r="89" spans="7:9">
      <c r="H89" s="177">
        <v>11930281.960000001</v>
      </c>
    </row>
    <row r="90" spans="7:9">
      <c r="H90" s="177">
        <f>H88+H89</f>
        <v>36639194.990000002</v>
      </c>
    </row>
    <row r="91" spans="7:9">
      <c r="H91" s="177">
        <v>36570857.850000001</v>
      </c>
    </row>
    <row r="92" spans="7:9">
      <c r="H92" s="177">
        <f>H90-H91</f>
        <v>68337.140000000596</v>
      </c>
    </row>
    <row r="93" spans="7:9">
      <c r="H93" s="177"/>
    </row>
  </sheetData>
  <mergeCells count="13">
    <mergeCell ref="K15:K16"/>
    <mergeCell ref="L15:L16"/>
    <mergeCell ref="N30:N31"/>
    <mergeCell ref="A1:L1"/>
    <mergeCell ref="A2:L2"/>
    <mergeCell ref="A3:L3"/>
    <mergeCell ref="A4:L4"/>
    <mergeCell ref="E15:E16"/>
    <mergeCell ref="F15:F16"/>
    <mergeCell ref="G15:G16"/>
    <mergeCell ref="H15:H16"/>
    <mergeCell ref="I15:I16"/>
    <mergeCell ref="J15:J16"/>
  </mergeCells>
  <pageMargins left="0.28999999999999998" right="0.17" top="0.1" bottom="0.1" header="0.01" footer="0.1"/>
  <pageSetup scale="99" orientation="landscape" horizontalDpi="300" verticalDpi="30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FF00"/>
  </sheetPr>
  <dimension ref="A1:N98"/>
  <sheetViews>
    <sheetView topLeftCell="A28" workbookViewId="0">
      <selection activeCell="F46" sqref="F46"/>
    </sheetView>
  </sheetViews>
  <sheetFormatPr defaultRowHeight="12.75"/>
  <cols>
    <col min="1" max="1" width="6" style="46" customWidth="1"/>
    <col min="2" max="3" width="9.140625" style="46"/>
    <col min="4" max="4" width="16.5703125" style="46" customWidth="1"/>
    <col min="5" max="5" width="19.28515625" style="46" customWidth="1"/>
    <col min="6" max="6" width="13.140625" style="46" customWidth="1"/>
    <col min="7" max="7" width="10" style="46" customWidth="1"/>
    <col min="8" max="8" width="11.5703125" style="46" customWidth="1"/>
    <col min="9" max="9" width="11.42578125" style="46" customWidth="1"/>
    <col min="10" max="10" width="13.28515625" style="109" customWidth="1"/>
    <col min="11" max="11" width="15.7109375" style="46" customWidth="1"/>
    <col min="12" max="12" width="16.85546875" style="109" customWidth="1"/>
    <col min="13" max="13" width="17" style="109" customWidth="1"/>
    <col min="14" max="14" width="17" style="46" customWidth="1"/>
    <col min="15" max="16384" width="9.140625" style="46"/>
  </cols>
  <sheetData>
    <row r="1" spans="1:13">
      <c r="A1" s="47"/>
      <c r="B1" s="48"/>
      <c r="C1" s="48"/>
      <c r="D1" s="48"/>
      <c r="E1" s="48"/>
      <c r="F1" s="48"/>
      <c r="G1" s="48"/>
      <c r="H1" s="48"/>
      <c r="I1" s="48"/>
      <c r="J1" s="169" t="s">
        <v>81</v>
      </c>
    </row>
    <row r="2" spans="1:13">
      <c r="A2" s="389" t="s">
        <v>80</v>
      </c>
      <c r="B2" s="390"/>
      <c r="C2" s="390"/>
      <c r="D2" s="390"/>
      <c r="E2" s="390"/>
      <c r="F2" s="390"/>
      <c r="G2" s="390"/>
      <c r="H2" s="390"/>
      <c r="I2" s="390"/>
      <c r="J2" s="391"/>
    </row>
    <row r="3" spans="1:13">
      <c r="A3" s="389" t="s">
        <v>212</v>
      </c>
      <c r="B3" s="390"/>
      <c r="C3" s="390"/>
      <c r="D3" s="390"/>
      <c r="E3" s="390"/>
      <c r="F3" s="390"/>
      <c r="G3" s="390"/>
      <c r="H3" s="390"/>
      <c r="I3" s="390"/>
      <c r="J3" s="391"/>
    </row>
    <row r="4" spans="1:13">
      <c r="A4" s="389"/>
      <c r="B4" s="390"/>
      <c r="C4" s="390"/>
      <c r="D4" s="390"/>
      <c r="E4" s="390"/>
      <c r="F4" s="390"/>
      <c r="G4" s="390"/>
      <c r="H4" s="390"/>
      <c r="I4" s="390"/>
      <c r="J4" s="391"/>
    </row>
    <row r="5" spans="1:13">
      <c r="A5" s="54" t="s">
        <v>77</v>
      </c>
      <c r="B5" s="219"/>
      <c r="C5" s="219"/>
      <c r="D5" s="219"/>
      <c r="E5" s="219"/>
      <c r="F5" s="219"/>
      <c r="G5" s="219"/>
      <c r="H5" s="219"/>
      <c r="I5" s="219"/>
      <c r="J5" s="170"/>
    </row>
    <row r="6" spans="1:13">
      <c r="A6" s="54" t="s">
        <v>76</v>
      </c>
      <c r="B6" s="55"/>
      <c r="C6" s="55"/>
      <c r="D6" s="55"/>
      <c r="E6" s="55"/>
      <c r="F6" s="55"/>
      <c r="G6" s="55"/>
      <c r="H6" s="55"/>
      <c r="I6" s="55"/>
      <c r="J6" s="171"/>
      <c r="K6" s="46" t="s">
        <v>210</v>
      </c>
    </row>
    <row r="7" spans="1:13">
      <c r="A7" s="47"/>
      <c r="B7" s="48"/>
      <c r="C7" s="48"/>
      <c r="D7" s="49"/>
      <c r="E7" s="88" t="s">
        <v>8</v>
      </c>
      <c r="F7" s="50"/>
      <c r="G7" s="52"/>
      <c r="H7" s="52"/>
      <c r="I7" s="53"/>
      <c r="J7" s="110"/>
    </row>
    <row r="8" spans="1:13">
      <c r="A8" s="54"/>
      <c r="B8" s="55"/>
      <c r="C8" s="55"/>
      <c r="D8" s="56"/>
      <c r="E8" s="218" t="s">
        <v>9</v>
      </c>
      <c r="F8" s="53"/>
      <c r="G8" s="59"/>
      <c r="H8" s="59"/>
      <c r="I8" s="58"/>
      <c r="J8" s="111"/>
    </row>
    <row r="9" spans="1:13">
      <c r="A9" s="61" t="s">
        <v>68</v>
      </c>
      <c r="B9" s="55"/>
      <c r="C9" s="55"/>
      <c r="D9" s="56"/>
      <c r="E9" s="218" t="s">
        <v>10</v>
      </c>
      <c r="F9" s="60" t="s">
        <v>12</v>
      </c>
      <c r="G9" s="60" t="s">
        <v>14</v>
      </c>
      <c r="H9" s="60" t="s">
        <v>20</v>
      </c>
      <c r="I9" s="60" t="s">
        <v>22</v>
      </c>
      <c r="J9" s="112" t="s">
        <v>24</v>
      </c>
    </row>
    <row r="10" spans="1:13">
      <c r="A10" s="54"/>
      <c r="B10" s="55"/>
      <c r="C10" s="55"/>
      <c r="D10" s="56"/>
      <c r="E10" s="218" t="s">
        <v>11</v>
      </c>
      <c r="F10" s="60" t="s">
        <v>13</v>
      </c>
      <c r="G10" s="59"/>
      <c r="H10" s="60" t="s">
        <v>21</v>
      </c>
      <c r="I10" s="60" t="s">
        <v>23</v>
      </c>
      <c r="J10" s="111"/>
    </row>
    <row r="11" spans="1:13">
      <c r="A11" s="62"/>
      <c r="B11" s="63"/>
      <c r="C11" s="63"/>
      <c r="D11" s="64"/>
      <c r="E11" s="65">
        <v>0.3</v>
      </c>
      <c r="F11" s="66">
        <v>0.7</v>
      </c>
      <c r="G11" s="59"/>
      <c r="H11" s="67"/>
      <c r="I11" s="68"/>
      <c r="J11" s="113"/>
    </row>
    <row r="12" spans="1:13" ht="18" customHeight="1">
      <c r="A12" s="70" t="s">
        <v>0</v>
      </c>
      <c r="B12" s="71"/>
      <c r="C12" s="71"/>
      <c r="D12" s="72"/>
      <c r="E12" s="51"/>
      <c r="F12" s="51"/>
      <c r="G12" s="51"/>
      <c r="H12" s="51"/>
      <c r="I12" s="51"/>
      <c r="J12" s="110"/>
      <c r="L12" s="118" t="s">
        <v>90</v>
      </c>
      <c r="M12" s="118" t="s">
        <v>89</v>
      </c>
    </row>
    <row r="13" spans="1:13" ht="18" customHeight="1">
      <c r="A13" s="73" t="s">
        <v>1</v>
      </c>
      <c r="B13" s="72"/>
      <c r="C13" s="72"/>
      <c r="D13" s="72"/>
      <c r="E13" s="94">
        <f>M19*0.3</f>
        <v>961801.2808500001</v>
      </c>
      <c r="F13" s="94">
        <f>M19*0.7</f>
        <v>2244202.9886500002</v>
      </c>
      <c r="G13" s="94"/>
      <c r="H13" s="94"/>
      <c r="I13" s="94"/>
      <c r="J13" s="275">
        <f>SUM(E13:I13)</f>
        <v>3206004.2695000004</v>
      </c>
      <c r="K13" s="175" t="e">
        <f>SUM(J13+#REF!+#REF!+#REF!+#REF!+#REF!+#REF!+#REF!+#REF!+#REF!+#REF!+#REF!)</f>
        <v>#REF!</v>
      </c>
      <c r="L13" s="109">
        <v>21367644.399999999</v>
      </c>
      <c r="M13" s="109">
        <v>4171566.4</v>
      </c>
    </row>
    <row r="14" spans="1:13" ht="18" customHeight="1">
      <c r="A14" s="73" t="s">
        <v>2</v>
      </c>
      <c r="B14" s="72"/>
      <c r="C14" s="72"/>
      <c r="D14" s="72"/>
      <c r="E14" s="102"/>
      <c r="F14" s="102"/>
      <c r="G14" s="102"/>
      <c r="H14" s="102"/>
      <c r="I14" s="102"/>
      <c r="J14" s="110">
        <f>SUM(E14:I14)</f>
        <v>0</v>
      </c>
      <c r="K14" s="117" t="s">
        <v>88</v>
      </c>
      <c r="L14" s="109">
        <v>9400000</v>
      </c>
      <c r="M14" s="109">
        <v>5637398.9699999997</v>
      </c>
    </row>
    <row r="15" spans="1:13" ht="18" customHeight="1">
      <c r="A15" s="75" t="s">
        <v>3</v>
      </c>
      <c r="B15" s="48"/>
      <c r="C15" s="48"/>
      <c r="D15" s="48"/>
      <c r="E15" s="102"/>
      <c r="F15" s="102"/>
      <c r="G15" s="102"/>
      <c r="H15" s="102"/>
      <c r="I15" s="102"/>
      <c r="J15" s="110"/>
      <c r="L15" s="116">
        <f>SUM(L13:L14)</f>
        <v>30767644.399999999</v>
      </c>
      <c r="M15" s="116">
        <f>SUM(M13:M14)</f>
        <v>9808965.3699999992</v>
      </c>
    </row>
    <row r="16" spans="1:13" ht="18" customHeight="1">
      <c r="A16" s="76" t="s">
        <v>78</v>
      </c>
      <c r="B16" s="55"/>
      <c r="C16" s="55"/>
      <c r="D16" s="55"/>
      <c r="E16" s="103"/>
      <c r="F16" s="103"/>
      <c r="G16" s="103"/>
      <c r="H16" s="103"/>
      <c r="I16" s="103"/>
      <c r="J16" s="113">
        <f>SUM(E16:I16)</f>
        <v>0</v>
      </c>
      <c r="K16" s="46">
        <v>11930281.960000001</v>
      </c>
    </row>
    <row r="17" spans="1:13" ht="18" customHeight="1">
      <c r="A17" s="77" t="s">
        <v>79</v>
      </c>
      <c r="B17" s="72"/>
      <c r="C17" s="72"/>
      <c r="D17" s="72"/>
      <c r="E17" s="94"/>
      <c r="F17" s="94"/>
      <c r="G17" s="94"/>
      <c r="H17" s="94"/>
      <c r="I17" s="94"/>
      <c r="J17" s="113">
        <f>SUM(E17:I17)</f>
        <v>0</v>
      </c>
      <c r="K17" s="173">
        <f>K16-J16</f>
        <v>11930281.960000001</v>
      </c>
      <c r="M17" s="109">
        <v>25936573.030000001</v>
      </c>
    </row>
    <row r="18" spans="1:13" ht="18" customHeight="1">
      <c r="A18" s="70" t="s">
        <v>7</v>
      </c>
      <c r="B18" s="72"/>
      <c r="C18" s="72"/>
      <c r="D18" s="72"/>
      <c r="E18" s="119">
        <f>SUM(E13:E17)</f>
        <v>961801.2808500001</v>
      </c>
      <c r="F18" s="119">
        <f t="shared" ref="F18:J18" si="0">SUM(F13:F17)</f>
        <v>2244202.9886500002</v>
      </c>
      <c r="G18" s="119">
        <f t="shared" si="0"/>
        <v>0</v>
      </c>
      <c r="H18" s="119">
        <f t="shared" si="0"/>
        <v>0</v>
      </c>
      <c r="I18" s="119">
        <f t="shared" si="0"/>
        <v>0</v>
      </c>
      <c r="J18" s="119">
        <f t="shared" si="0"/>
        <v>3206004.2695000004</v>
      </c>
      <c r="K18" s="166">
        <f t="shared" ref="K18:K43" si="1">SUM(E18:I18)</f>
        <v>3206004.2695000004</v>
      </c>
      <c r="L18" s="193" t="s">
        <v>171</v>
      </c>
      <c r="M18" s="192">
        <v>64120085.390000001</v>
      </c>
    </row>
    <row r="19" spans="1:13" s="109" customFormat="1" ht="18" customHeight="1">
      <c r="A19" s="74" t="s">
        <v>99</v>
      </c>
      <c r="B19" s="72" t="s">
        <v>100</v>
      </c>
      <c r="C19" s="72"/>
      <c r="D19" s="72"/>
      <c r="E19" s="94">
        <f>SUM('DRRM Funds Nov 2014  '!E42)</f>
        <v>13506123.328400001</v>
      </c>
      <c r="F19" s="94">
        <f>SUM('DRRM Funds Nov 2014  '!F42)</f>
        <v>22207230.8957</v>
      </c>
      <c r="G19" s="94">
        <f>SUM('DRRM Funds Nov 2014  '!G42)</f>
        <v>0</v>
      </c>
      <c r="H19" s="94">
        <f>SUM('DRRM Funds Nov 2014  '!H42)</f>
        <v>10140</v>
      </c>
      <c r="I19" s="94">
        <f>SUM('DRRM Funds Nov 2014  '!I42)</f>
        <v>0</v>
      </c>
      <c r="J19" s="94">
        <f>SUM('DRRM Funds Nov 2014  '!J42)</f>
        <v>35723494.224100001</v>
      </c>
      <c r="K19" s="166">
        <f t="shared" si="1"/>
        <v>35723494.224100001</v>
      </c>
      <c r="L19" s="194">
        <v>0.05</v>
      </c>
      <c r="M19" s="192">
        <f>M18*0.05</f>
        <v>3206004.2695000004</v>
      </c>
    </row>
    <row r="20" spans="1:13" s="109" customFormat="1" ht="18" customHeight="1">
      <c r="A20" s="70" t="s">
        <v>101</v>
      </c>
      <c r="B20" s="122"/>
      <c r="C20" s="72"/>
      <c r="D20" s="72"/>
      <c r="E20" s="119">
        <f>SUM(E18:E19)</f>
        <v>14467924.609250002</v>
      </c>
      <c r="F20" s="119">
        <f t="shared" ref="F20:J20" si="2">SUM(F18:F19)</f>
        <v>24451433.884350002</v>
      </c>
      <c r="G20" s="119">
        <f t="shared" si="2"/>
        <v>0</v>
      </c>
      <c r="H20" s="119">
        <f t="shared" si="2"/>
        <v>10140</v>
      </c>
      <c r="I20" s="119">
        <f t="shared" si="2"/>
        <v>0</v>
      </c>
      <c r="J20" s="119">
        <f t="shared" si="2"/>
        <v>38929498.493600003</v>
      </c>
      <c r="K20" s="166">
        <f t="shared" si="1"/>
        <v>38929498.493600003</v>
      </c>
    </row>
    <row r="21" spans="1:13" ht="18" customHeight="1">
      <c r="A21" s="70" t="s">
        <v>15</v>
      </c>
      <c r="B21" s="72"/>
      <c r="C21" s="72"/>
      <c r="D21" s="72"/>
      <c r="E21" s="94"/>
      <c r="F21" s="94"/>
      <c r="G21" s="94"/>
      <c r="H21" s="94"/>
      <c r="I21" s="94"/>
      <c r="J21" s="114"/>
      <c r="K21" s="166">
        <f t="shared" si="1"/>
        <v>0</v>
      </c>
      <c r="M21" s="109">
        <v>26972032.48</v>
      </c>
    </row>
    <row r="22" spans="1:13" ht="18" customHeight="1">
      <c r="A22" s="78" t="s">
        <v>206</v>
      </c>
      <c r="B22" s="72"/>
      <c r="C22" s="72"/>
      <c r="D22" s="72"/>
      <c r="E22" s="94"/>
      <c r="F22" s="94"/>
      <c r="G22" s="94"/>
      <c r="H22" s="94"/>
      <c r="I22" s="94"/>
      <c r="J22" s="114">
        <f>SUM(E22:I22)</f>
        <v>0</v>
      </c>
      <c r="K22" s="166"/>
    </row>
    <row r="23" spans="1:13" ht="18" customHeight="1">
      <c r="A23" s="78" t="s">
        <v>207</v>
      </c>
      <c r="B23" s="72"/>
      <c r="C23" s="72"/>
      <c r="D23" s="72"/>
      <c r="E23" s="94"/>
      <c r="F23" s="94">
        <v>18900</v>
      </c>
      <c r="G23" s="94"/>
      <c r="H23" s="94"/>
      <c r="I23" s="94"/>
      <c r="J23" s="114">
        <f t="shared" ref="J23:J24" si="3">SUM(E23:I23)</f>
        <v>18900</v>
      </c>
      <c r="K23" s="166"/>
    </row>
    <row r="24" spans="1:13" ht="18" customHeight="1">
      <c r="A24" s="78" t="s">
        <v>16</v>
      </c>
      <c r="B24" s="72"/>
      <c r="C24" s="72"/>
      <c r="D24" s="72"/>
      <c r="E24" s="94"/>
      <c r="F24" s="94"/>
      <c r="G24" s="94"/>
      <c r="H24" s="94"/>
      <c r="I24" s="94"/>
      <c r="J24" s="114">
        <f t="shared" si="3"/>
        <v>0</v>
      </c>
      <c r="K24" s="166">
        <f t="shared" si="1"/>
        <v>0</v>
      </c>
      <c r="L24" s="176">
        <f>518731460.56*0.05</f>
        <v>25936573.028000001</v>
      </c>
      <c r="M24" s="109">
        <v>10934284.82</v>
      </c>
    </row>
    <row r="25" spans="1:13" ht="18" customHeight="1">
      <c r="A25" s="78" t="s">
        <v>70</v>
      </c>
      <c r="B25" s="72"/>
      <c r="C25" s="72"/>
      <c r="D25" s="72"/>
      <c r="E25" s="94"/>
      <c r="F25" s="94">
        <v>1244293.53</v>
      </c>
      <c r="G25" s="94"/>
      <c r="H25" s="94"/>
      <c r="I25" s="94"/>
      <c r="J25" s="114">
        <f>SUM(E25:I25)</f>
        <v>1244293.53</v>
      </c>
      <c r="K25" s="166">
        <f t="shared" si="1"/>
        <v>1244293.53</v>
      </c>
      <c r="L25" s="109" t="e">
        <f>L24-K13</f>
        <v>#REF!</v>
      </c>
      <c r="M25" s="109">
        <f>M21-M24</f>
        <v>16037747.66</v>
      </c>
    </row>
    <row r="26" spans="1:13" ht="18" customHeight="1">
      <c r="A26" s="78" t="s">
        <v>71</v>
      </c>
      <c r="B26" s="72"/>
      <c r="C26" s="72"/>
      <c r="D26" s="72"/>
      <c r="E26" s="94"/>
      <c r="F26" s="94">
        <f>271118.1+653692.84</f>
        <v>924810.94</v>
      </c>
      <c r="G26" s="94"/>
      <c r="H26" s="94"/>
      <c r="I26" s="94"/>
      <c r="J26" s="114">
        <f t="shared" ref="J26:J40" si="4">SUM(E26:I26)</f>
        <v>924810.94</v>
      </c>
      <c r="K26" s="166">
        <f t="shared" si="1"/>
        <v>924810.94</v>
      </c>
    </row>
    <row r="27" spans="1:13" ht="18" customHeight="1">
      <c r="A27" s="79" t="s">
        <v>91</v>
      </c>
      <c r="B27" s="72"/>
      <c r="C27" s="72"/>
      <c r="D27" s="72"/>
      <c r="E27" s="94"/>
      <c r="F27" s="94"/>
      <c r="G27" s="94"/>
      <c r="H27" s="94"/>
      <c r="I27" s="94"/>
      <c r="J27" s="114">
        <f t="shared" si="4"/>
        <v>0</v>
      </c>
      <c r="K27" s="166">
        <f t="shared" si="1"/>
        <v>0</v>
      </c>
    </row>
    <row r="28" spans="1:13" ht="18" customHeight="1">
      <c r="A28" s="78" t="s">
        <v>17</v>
      </c>
      <c r="B28" s="72"/>
      <c r="C28" s="72"/>
      <c r="D28" s="72"/>
      <c r="E28" s="94"/>
      <c r="F28" s="94"/>
      <c r="G28" s="94"/>
      <c r="H28" s="94"/>
      <c r="I28" s="94"/>
      <c r="J28" s="114">
        <f t="shared" si="4"/>
        <v>0</v>
      </c>
      <c r="K28" s="166">
        <f t="shared" si="1"/>
        <v>0</v>
      </c>
    </row>
    <row r="29" spans="1:13" ht="18" customHeight="1">
      <c r="A29" s="78" t="s">
        <v>215</v>
      </c>
      <c r="B29" s="72"/>
      <c r="C29" s="72"/>
      <c r="D29" s="72"/>
      <c r="E29" s="94"/>
      <c r="F29" s="94"/>
      <c r="G29" s="94"/>
      <c r="H29" s="94"/>
      <c r="I29" s="94"/>
      <c r="J29" s="114">
        <f t="shared" si="4"/>
        <v>0</v>
      </c>
      <c r="K29" s="166">
        <f t="shared" si="1"/>
        <v>0</v>
      </c>
      <c r="L29" s="118" t="s">
        <v>162</v>
      </c>
    </row>
    <row r="30" spans="1:13" ht="18" customHeight="1">
      <c r="A30" s="78" t="s">
        <v>213</v>
      </c>
      <c r="B30" s="72"/>
      <c r="C30" s="72"/>
      <c r="D30" s="72"/>
      <c r="E30" s="94"/>
      <c r="F30" s="94">
        <v>25700</v>
      </c>
      <c r="G30" s="94"/>
      <c r="H30" s="94"/>
      <c r="I30" s="94"/>
      <c r="J30" s="114">
        <f t="shared" si="4"/>
        <v>25700</v>
      </c>
      <c r="K30" s="166"/>
      <c r="L30" s="118"/>
    </row>
    <row r="31" spans="1:13" ht="18" customHeight="1">
      <c r="A31" s="78" t="s">
        <v>214</v>
      </c>
      <c r="B31" s="72"/>
      <c r="C31" s="72"/>
      <c r="D31" s="72"/>
      <c r="E31" s="94"/>
      <c r="F31" s="94">
        <v>1374896</v>
      </c>
      <c r="G31" s="94"/>
      <c r="H31" s="94"/>
      <c r="I31" s="94"/>
      <c r="J31" s="114">
        <f t="shared" si="4"/>
        <v>1374896</v>
      </c>
      <c r="K31" s="166"/>
      <c r="L31" s="118"/>
    </row>
    <row r="32" spans="1:13" ht="18" customHeight="1">
      <c r="A32" s="78" t="s">
        <v>102</v>
      </c>
      <c r="B32" s="72"/>
      <c r="C32" s="72"/>
      <c r="D32" s="72"/>
      <c r="E32" s="94"/>
      <c r="F32" s="94"/>
      <c r="G32" s="94"/>
      <c r="H32" s="94"/>
      <c r="I32" s="94"/>
      <c r="J32" s="114">
        <f t="shared" si="4"/>
        <v>0</v>
      </c>
      <c r="K32" s="166">
        <f t="shared" si="1"/>
        <v>0</v>
      </c>
      <c r="L32" s="109">
        <f>SUM(F29:F32)</f>
        <v>1400596</v>
      </c>
    </row>
    <row r="33" spans="1:14" ht="18" customHeight="1">
      <c r="A33" s="78" t="s">
        <v>19</v>
      </c>
      <c r="B33" s="72"/>
      <c r="C33" s="72"/>
      <c r="D33" s="72"/>
      <c r="E33" s="94"/>
      <c r="F33" s="94"/>
      <c r="G33" s="94"/>
      <c r="H33" s="94"/>
      <c r="I33" s="94"/>
      <c r="J33" s="114">
        <f t="shared" si="4"/>
        <v>0</v>
      </c>
      <c r="K33" s="166">
        <f t="shared" si="1"/>
        <v>0</v>
      </c>
      <c r="L33" s="109">
        <v>147060</v>
      </c>
    </row>
    <row r="34" spans="1:14" ht="18" customHeight="1">
      <c r="A34" s="78" t="s">
        <v>168</v>
      </c>
      <c r="B34" s="72"/>
      <c r="C34" s="72"/>
      <c r="D34" s="72"/>
      <c r="E34" s="94">
        <v>3923964.94</v>
      </c>
      <c r="F34" s="94">
        <v>1293450</v>
      </c>
      <c r="G34" s="94"/>
      <c r="H34" s="94"/>
      <c r="I34" s="94"/>
      <c r="J34" s="233">
        <f t="shared" si="4"/>
        <v>5217414.9399999995</v>
      </c>
      <c r="K34" s="166">
        <f t="shared" si="1"/>
        <v>5217414.9399999995</v>
      </c>
    </row>
    <row r="35" spans="1:14" ht="18" customHeight="1">
      <c r="A35" s="78" t="s">
        <v>208</v>
      </c>
      <c r="B35" s="72"/>
      <c r="C35" s="72"/>
      <c r="D35" s="72"/>
      <c r="E35" s="94"/>
      <c r="F35" s="94"/>
      <c r="G35" s="94"/>
      <c r="H35" s="94"/>
      <c r="I35" s="94"/>
      <c r="J35" s="114"/>
      <c r="K35" s="166">
        <f t="shared" si="1"/>
        <v>0</v>
      </c>
      <c r="L35" s="109">
        <v>1555500</v>
      </c>
    </row>
    <row r="36" spans="1:14" ht="18" customHeight="1">
      <c r="A36" s="78"/>
      <c r="B36" s="72" t="s">
        <v>209</v>
      </c>
      <c r="C36" s="72"/>
      <c r="D36" s="72"/>
      <c r="E36" s="94"/>
      <c r="F36" s="94"/>
      <c r="G36" s="94"/>
      <c r="H36" s="94"/>
      <c r="I36" s="94"/>
      <c r="J36" s="114">
        <f t="shared" si="4"/>
        <v>0</v>
      </c>
      <c r="K36" s="166">
        <f t="shared" si="1"/>
        <v>0</v>
      </c>
      <c r="L36" s="109">
        <v>2209000</v>
      </c>
    </row>
    <row r="37" spans="1:14" ht="18" customHeight="1">
      <c r="A37" s="78" t="s">
        <v>75</v>
      </c>
      <c r="B37" s="72"/>
      <c r="C37" s="72"/>
      <c r="D37" s="72"/>
      <c r="E37" s="94"/>
      <c r="F37" s="94"/>
      <c r="G37" s="94"/>
      <c r="H37" s="94"/>
      <c r="I37" s="94"/>
      <c r="J37" s="114">
        <f t="shared" si="4"/>
        <v>0</v>
      </c>
      <c r="K37" s="166">
        <f t="shared" si="1"/>
        <v>0</v>
      </c>
      <c r="L37" s="109">
        <v>173800</v>
      </c>
    </row>
    <row r="38" spans="1:14" ht="18" customHeight="1">
      <c r="A38" s="79" t="s">
        <v>94</v>
      </c>
      <c r="B38" s="72"/>
      <c r="C38" s="72"/>
      <c r="D38" s="72"/>
      <c r="E38" s="94"/>
      <c r="F38" s="94"/>
      <c r="G38" s="94"/>
      <c r="H38" s="94"/>
      <c r="I38" s="94"/>
      <c r="J38" s="114">
        <f t="shared" si="4"/>
        <v>0</v>
      </c>
      <c r="K38" s="166">
        <f t="shared" si="1"/>
        <v>0</v>
      </c>
      <c r="L38" s="109">
        <v>177000</v>
      </c>
    </row>
    <row r="39" spans="1:14" ht="18" customHeight="1">
      <c r="A39" s="79" t="s">
        <v>95</v>
      </c>
      <c r="B39" s="72"/>
      <c r="C39" s="72"/>
      <c r="D39" s="72"/>
      <c r="E39" s="94"/>
      <c r="F39" s="94"/>
      <c r="G39" s="94"/>
      <c r="H39" s="94"/>
      <c r="I39" s="94"/>
      <c r="J39" s="114">
        <f t="shared" si="4"/>
        <v>0</v>
      </c>
      <c r="K39" s="166">
        <f t="shared" si="1"/>
        <v>0</v>
      </c>
      <c r="L39" s="109">
        <v>204055</v>
      </c>
    </row>
    <row r="40" spans="1:14" ht="18" customHeight="1">
      <c r="A40" s="78" t="s">
        <v>96</v>
      </c>
      <c r="B40" s="72"/>
      <c r="C40" s="72"/>
      <c r="D40" s="72"/>
      <c r="E40" s="94"/>
      <c r="F40" s="94"/>
      <c r="G40" s="94"/>
      <c r="H40" s="94"/>
      <c r="I40" s="94"/>
      <c r="J40" s="114">
        <f t="shared" si="4"/>
        <v>0</v>
      </c>
      <c r="K40" s="166">
        <f t="shared" si="1"/>
        <v>0</v>
      </c>
      <c r="L40" s="109">
        <v>71070</v>
      </c>
    </row>
    <row r="41" spans="1:14" ht="18" customHeight="1">
      <c r="A41" s="84" t="s">
        <v>92</v>
      </c>
      <c r="B41" s="63"/>
      <c r="C41" s="63"/>
      <c r="D41" s="63"/>
      <c r="E41" s="311">
        <f t="shared" ref="E41:J41" si="5">SUM(E22:E40)</f>
        <v>3923964.94</v>
      </c>
      <c r="F41" s="94">
        <f t="shared" si="5"/>
        <v>4882050.47</v>
      </c>
      <c r="G41" s="94">
        <f t="shared" si="5"/>
        <v>0</v>
      </c>
      <c r="H41" s="94">
        <f t="shared" si="5"/>
        <v>0</v>
      </c>
      <c r="I41" s="94">
        <f t="shared" si="5"/>
        <v>0</v>
      </c>
      <c r="J41" s="94">
        <f t="shared" si="5"/>
        <v>8806015.4100000001</v>
      </c>
      <c r="K41" s="166">
        <f t="shared" si="1"/>
        <v>8806015.4100000001</v>
      </c>
      <c r="L41" s="109">
        <v>27800</v>
      </c>
      <c r="M41" s="46"/>
    </row>
    <row r="42" spans="1:14" ht="18" customHeight="1">
      <c r="A42" s="84" t="s">
        <v>103</v>
      </c>
      <c r="B42" s="63"/>
      <c r="C42" s="63"/>
      <c r="D42" s="63"/>
      <c r="E42" s="103">
        <f>SUM('DRRM Funds Nov 2014  '!E41)</f>
        <v>2437179.08</v>
      </c>
      <c r="F42" s="103">
        <f>SUM('DRRM Funds Nov 2014  '!F41)</f>
        <v>11888509.809999999</v>
      </c>
      <c r="G42" s="103">
        <f>SUM('DRRM Funds Nov 2014  '!G41)</f>
        <v>0</v>
      </c>
      <c r="H42" s="103">
        <f>SUM('DRRM Funds Nov 2014  '!H41)</f>
        <v>0</v>
      </c>
      <c r="I42" s="103">
        <f>SUM('DRRM Funds Nov 2014  '!I41)</f>
        <v>0</v>
      </c>
      <c r="J42" s="103">
        <f>SUM('DRRM Funds Nov 2014  '!J41)</f>
        <v>14325688.890000001</v>
      </c>
      <c r="K42" s="166">
        <f t="shared" si="1"/>
        <v>14325688.889999999</v>
      </c>
      <c r="L42" s="109">
        <v>126865</v>
      </c>
      <c r="M42" s="109">
        <f>SUM(E42:H42)</f>
        <v>14325688.889999999</v>
      </c>
    </row>
    <row r="43" spans="1:14" ht="18" customHeight="1">
      <c r="A43" s="84" t="s">
        <v>104</v>
      </c>
      <c r="B43" s="63"/>
      <c r="C43" s="63"/>
      <c r="D43" s="63"/>
      <c r="E43" s="312">
        <f>SUM(E41:E42)</f>
        <v>6361144.0199999996</v>
      </c>
      <c r="F43" s="312">
        <f>SUM(F41:F42)</f>
        <v>16770560.279999997</v>
      </c>
      <c r="G43" s="312">
        <f t="shared" ref="G43:J43" si="6">SUM(G41:G42)</f>
        <v>0</v>
      </c>
      <c r="H43" s="312">
        <f t="shared" si="6"/>
        <v>0</v>
      </c>
      <c r="I43" s="312">
        <f t="shared" si="6"/>
        <v>0</v>
      </c>
      <c r="J43" s="312">
        <f t="shared" si="6"/>
        <v>23131704.300000001</v>
      </c>
      <c r="K43" s="166">
        <f t="shared" si="1"/>
        <v>23131704.299999997</v>
      </c>
      <c r="L43" s="174">
        <f>SUM(L32:L42)</f>
        <v>6092746</v>
      </c>
      <c r="M43" s="109">
        <v>10492358.970000001</v>
      </c>
    </row>
    <row r="44" spans="1:14" ht="18" customHeight="1">
      <c r="A44" s="70" t="s">
        <v>93</v>
      </c>
      <c r="B44" s="72"/>
      <c r="C44" s="72"/>
      <c r="D44" s="80"/>
      <c r="E44" s="120">
        <f t="shared" ref="E44:J44" si="7">E20-E41</f>
        <v>10543959.669250002</v>
      </c>
      <c r="F44" s="120">
        <f t="shared" si="7"/>
        <v>19569383.414350003</v>
      </c>
      <c r="G44" s="120">
        <f t="shared" si="7"/>
        <v>0</v>
      </c>
      <c r="H44" s="120">
        <f t="shared" si="7"/>
        <v>10140</v>
      </c>
      <c r="I44" s="120">
        <f t="shared" si="7"/>
        <v>0</v>
      </c>
      <c r="J44" s="120">
        <f t="shared" si="7"/>
        <v>30123483.083600003</v>
      </c>
      <c r="K44" s="166">
        <f>SUM(E44:I44)</f>
        <v>30123483.083600007</v>
      </c>
      <c r="L44" s="46"/>
      <c r="M44" s="109">
        <f>M43-L43</f>
        <v>4399612.9700000007</v>
      </c>
    </row>
    <row r="45" spans="1:14" ht="18" customHeight="1">
      <c r="A45" s="55"/>
      <c r="B45" s="55"/>
      <c r="C45" s="55"/>
      <c r="D45" s="55"/>
      <c r="E45" s="55"/>
      <c r="F45" s="55"/>
      <c r="G45" s="55"/>
      <c r="H45" s="55"/>
      <c r="I45" s="55"/>
      <c r="J45" s="115" t="s">
        <v>74</v>
      </c>
      <c r="K45" s="92">
        <f>SUM(E44:F44)</f>
        <v>30113343.083600007</v>
      </c>
      <c r="M45" s="109">
        <v>0</v>
      </c>
    </row>
    <row r="46" spans="1:14" ht="18" customHeight="1">
      <c r="A46" s="55"/>
      <c r="B46" s="55"/>
      <c r="C46" s="55"/>
      <c r="D46" s="55"/>
      <c r="E46" s="55"/>
      <c r="F46" s="55"/>
      <c r="G46" s="55"/>
      <c r="H46" s="55"/>
      <c r="I46" s="55"/>
      <c r="J46" s="115"/>
      <c r="K46" s="92">
        <f>SUM(E43:F43)</f>
        <v>23131704.299999997</v>
      </c>
      <c r="M46" s="109">
        <f>SUM(M44:M45)</f>
        <v>4399612.9700000007</v>
      </c>
      <c r="N46" s="173">
        <f>SUM(L43+M46)</f>
        <v>10492358.970000001</v>
      </c>
    </row>
    <row r="47" spans="1:14">
      <c r="A47" s="55" t="s">
        <v>83</v>
      </c>
      <c r="B47" s="55"/>
      <c r="C47" s="55"/>
      <c r="D47" s="55"/>
      <c r="E47" s="55"/>
      <c r="F47" s="55"/>
      <c r="G47" s="55"/>
      <c r="H47" s="55" t="s">
        <v>29</v>
      </c>
      <c r="I47" s="55"/>
      <c r="J47" s="115"/>
      <c r="K47" s="55"/>
      <c r="L47" s="109">
        <v>752760</v>
      </c>
    </row>
    <row r="48" spans="1:14">
      <c r="A48" s="55"/>
      <c r="B48" s="55"/>
      <c r="C48" s="55"/>
      <c r="D48" s="55"/>
      <c r="E48" s="55"/>
      <c r="F48" s="55"/>
      <c r="G48" s="55"/>
      <c r="H48" s="55"/>
      <c r="I48" s="55"/>
      <c r="J48" s="115"/>
      <c r="K48" s="55"/>
      <c r="L48" s="109">
        <v>902075</v>
      </c>
    </row>
    <row r="49" spans="1:13">
      <c r="A49" s="55"/>
      <c r="B49" s="55"/>
      <c r="C49" s="55"/>
      <c r="D49" s="55"/>
      <c r="E49" s="55"/>
      <c r="F49" s="55"/>
      <c r="G49" s="55"/>
      <c r="H49" s="172"/>
      <c r="I49" s="55"/>
      <c r="J49" s="115"/>
      <c r="K49" s="55"/>
      <c r="L49" s="109">
        <v>1032329.7</v>
      </c>
      <c r="M49" s="109">
        <v>1897753.11</v>
      </c>
    </row>
    <row r="50" spans="1:13">
      <c r="A50" s="55" t="s">
        <v>202</v>
      </c>
      <c r="B50" s="55"/>
      <c r="C50" s="55"/>
      <c r="D50" s="55"/>
      <c r="E50" s="55"/>
      <c r="F50" s="55"/>
      <c r="G50" s="55"/>
      <c r="H50" s="140" t="s">
        <v>194</v>
      </c>
      <c r="I50" s="55"/>
      <c r="J50" s="115"/>
      <c r="K50" s="55"/>
      <c r="L50" s="109">
        <v>504234.65</v>
      </c>
      <c r="M50" s="109">
        <v>8736531.7100000009</v>
      </c>
    </row>
    <row r="51" spans="1:13">
      <c r="A51" s="140" t="s">
        <v>203</v>
      </c>
      <c r="B51" s="55"/>
      <c r="C51" s="55"/>
      <c r="D51" s="55"/>
      <c r="E51" s="55"/>
      <c r="F51" s="55"/>
      <c r="G51" s="55"/>
      <c r="H51" s="140" t="s">
        <v>195</v>
      </c>
      <c r="I51" s="55"/>
      <c r="J51" s="115"/>
      <c r="K51" s="55"/>
      <c r="L51" s="109">
        <v>899145</v>
      </c>
      <c r="M51" s="109">
        <v>10140</v>
      </c>
    </row>
    <row r="52" spans="1:13">
      <c r="A52" s="55"/>
      <c r="B52" s="55"/>
      <c r="C52" s="55"/>
      <c r="D52" s="55"/>
      <c r="E52" s="121"/>
      <c r="F52" s="55"/>
      <c r="G52" s="55"/>
      <c r="H52" s="55"/>
      <c r="I52" s="55"/>
      <c r="J52" s="115"/>
      <c r="K52" s="55"/>
      <c r="L52" s="109">
        <v>1087927.3999999999</v>
      </c>
      <c r="M52" s="109">
        <f>SUM(M49:M51)</f>
        <v>10644424.82</v>
      </c>
    </row>
    <row r="53" spans="1:13">
      <c r="A53" s="55"/>
      <c r="B53" s="55"/>
      <c r="C53" s="55"/>
      <c r="D53" s="55"/>
      <c r="E53" s="115"/>
      <c r="F53" s="55"/>
      <c r="G53" s="55"/>
      <c r="H53" s="55"/>
      <c r="I53" s="115"/>
      <c r="J53" s="115"/>
      <c r="K53" s="55"/>
      <c r="L53" s="109">
        <v>2896515.5</v>
      </c>
    </row>
    <row r="54" spans="1:13">
      <c r="A54" s="55"/>
      <c r="B54" s="55"/>
      <c r="C54" s="55"/>
      <c r="D54" s="55"/>
      <c r="E54" s="55"/>
      <c r="F54" s="55"/>
      <c r="G54" s="55"/>
      <c r="H54" s="55"/>
      <c r="I54" s="115"/>
      <c r="J54" s="115"/>
      <c r="K54" s="55"/>
      <c r="L54" s="109">
        <v>120000</v>
      </c>
    </row>
    <row r="55" spans="1:13">
      <c r="I55" s="109"/>
      <c r="M55" s="46"/>
    </row>
    <row r="56" spans="1:13">
      <c r="F56" s="121">
        <f>F18-F57</f>
        <v>69048.688650000375</v>
      </c>
      <c r="I56" s="109"/>
      <c r="K56" s="55"/>
      <c r="L56" s="115">
        <v>630000</v>
      </c>
      <c r="M56" s="183">
        <v>10644424.82</v>
      </c>
    </row>
    <row r="57" spans="1:13">
      <c r="F57" s="115">
        <f>49980+103610+255752.8+265335+81917.75+32889+315132+287135.25+143400+640002.5</f>
        <v>2175154.2999999998</v>
      </c>
      <c r="I57" s="109"/>
      <c r="J57" s="109">
        <v>7850000</v>
      </c>
      <c r="L57" s="109">
        <v>1000000</v>
      </c>
      <c r="M57" s="183">
        <v>13157941.960000001</v>
      </c>
    </row>
    <row r="58" spans="1:13">
      <c r="I58" s="109"/>
      <c r="J58" s="109">
        <v>800000</v>
      </c>
      <c r="L58" s="109">
        <v>1300000</v>
      </c>
      <c r="M58" s="184">
        <v>0</v>
      </c>
    </row>
    <row r="59" spans="1:13">
      <c r="D59" s="109"/>
      <c r="I59" s="109"/>
      <c r="J59" s="109">
        <v>1200000</v>
      </c>
      <c r="L59" s="109">
        <v>2000000</v>
      </c>
      <c r="M59" s="183">
        <f>SUM(M56:M58)</f>
        <v>23802366.780000001</v>
      </c>
    </row>
    <row r="60" spans="1:13">
      <c r="C60" s="46" t="s">
        <v>295</v>
      </c>
      <c r="D60" s="109">
        <v>5195982.46</v>
      </c>
      <c r="I60" s="109"/>
      <c r="J60" s="109">
        <v>3500000</v>
      </c>
      <c r="L60" s="109">
        <v>150000</v>
      </c>
      <c r="M60" s="183">
        <v>24092226.780000001</v>
      </c>
    </row>
    <row r="61" spans="1:13">
      <c r="D61" s="109">
        <v>484287.77</v>
      </c>
      <c r="I61" s="109">
        <v>100000</v>
      </c>
      <c r="J61" s="116">
        <f>SUM(J57:J60)</f>
        <v>13350000</v>
      </c>
      <c r="L61" s="109">
        <v>4590281.96</v>
      </c>
      <c r="M61" s="183">
        <f>M60-M59</f>
        <v>289860</v>
      </c>
    </row>
    <row r="62" spans="1:13">
      <c r="D62" s="109">
        <v>1580854.74</v>
      </c>
      <c r="I62" s="109">
        <v>4589687.1100000003</v>
      </c>
      <c r="J62" s="109">
        <v>16829861.079999998</v>
      </c>
      <c r="L62" s="109">
        <f>SUM(L56:L61)</f>
        <v>9670281.9600000009</v>
      </c>
      <c r="M62" s="46"/>
    </row>
    <row r="63" spans="1:13">
      <c r="D63" s="109">
        <v>3101416.14</v>
      </c>
      <c r="I63" s="116">
        <f>SUM(I57:I62)</f>
        <v>4689687.1100000003</v>
      </c>
      <c r="J63" s="109">
        <f>J61-J62</f>
        <v>-3479861.0799999982</v>
      </c>
      <c r="M63" s="109">
        <v>24416573.030000001</v>
      </c>
    </row>
    <row r="64" spans="1:13">
      <c r="D64" s="109">
        <v>1859055.96</v>
      </c>
      <c r="I64" s="109">
        <v>7212797.6100000003</v>
      </c>
      <c r="M64" s="109">
        <v>24708913.030000001</v>
      </c>
    </row>
    <row r="65" spans="1:13">
      <c r="D65" s="109">
        <v>3114613.94</v>
      </c>
      <c r="I65" s="109">
        <f>I63-I64</f>
        <v>-2523110.5</v>
      </c>
      <c r="M65" s="109">
        <f>M63-M64</f>
        <v>-292340</v>
      </c>
    </row>
    <row r="66" spans="1:13">
      <c r="D66" s="109">
        <v>2889994.15</v>
      </c>
      <c r="I66" s="109"/>
      <c r="M66" s="109">
        <v>289860</v>
      </c>
    </row>
    <row r="67" spans="1:13">
      <c r="D67" s="109">
        <v>1672905.64</v>
      </c>
      <c r="I67" s="109"/>
      <c r="J67" s="109">
        <v>25346381.800000001</v>
      </c>
      <c r="M67" s="173">
        <f>SUM(M65:M66)</f>
        <v>-2480</v>
      </c>
    </row>
    <row r="68" spans="1:13">
      <c r="D68" s="109">
        <v>1636083.28</v>
      </c>
      <c r="I68" s="109"/>
      <c r="J68" s="109">
        <v>24042658.690000001</v>
      </c>
      <c r="M68" s="46"/>
    </row>
    <row r="69" spans="1:13">
      <c r="D69" s="109">
        <v>2793282.82</v>
      </c>
      <c r="I69" s="109"/>
      <c r="J69" s="109">
        <f>J67-J68</f>
        <v>1303723.1099999994</v>
      </c>
      <c r="L69" s="109">
        <v>400000</v>
      </c>
      <c r="M69" s="46"/>
    </row>
    <row r="70" spans="1:13">
      <c r="D70" s="109">
        <v>1625999.44</v>
      </c>
      <c r="I70" s="109"/>
      <c r="L70" s="109">
        <v>1000000</v>
      </c>
      <c r="M70" s="109">
        <v>25279.7</v>
      </c>
    </row>
    <row r="71" spans="1:13">
      <c r="D71" s="109">
        <v>3206004.27</v>
      </c>
      <c r="I71" s="109"/>
      <c r="M71" s="109">
        <v>27759.7</v>
      </c>
    </row>
    <row r="72" spans="1:13">
      <c r="D72" s="248"/>
      <c r="H72" s="109"/>
      <c r="I72" s="109"/>
      <c r="M72" s="173">
        <f>M70-M71</f>
        <v>-2480</v>
      </c>
    </row>
    <row r="73" spans="1:13">
      <c r="D73" s="109">
        <f>SUM(D60:D72)</f>
        <v>29160480.610000003</v>
      </c>
      <c r="H73" s="109">
        <v>4455551.57</v>
      </c>
      <c r="I73" s="109"/>
      <c r="J73" s="109">
        <v>17496381.800000001</v>
      </c>
      <c r="M73" s="46"/>
    </row>
    <row r="74" spans="1:13">
      <c r="D74" s="109"/>
      <c r="H74" s="109">
        <v>5760963.6399999997</v>
      </c>
      <c r="I74" s="109"/>
      <c r="J74" s="109">
        <v>7850000</v>
      </c>
      <c r="M74" s="46"/>
    </row>
    <row r="75" spans="1:13">
      <c r="D75" s="109"/>
      <c r="H75" s="109">
        <f>SUM(H73:H74)</f>
        <v>10216515.210000001</v>
      </c>
      <c r="I75" s="109"/>
      <c r="J75" s="109">
        <f>SUM(J73:J74)</f>
        <v>25346381.800000001</v>
      </c>
      <c r="M75" s="46"/>
    </row>
    <row r="76" spans="1:13" s="109" customFormat="1">
      <c r="A76" s="46"/>
      <c r="B76" s="46"/>
      <c r="C76" s="46"/>
      <c r="E76" s="46"/>
      <c r="F76" s="46"/>
      <c r="G76" s="46"/>
    </row>
    <row r="77" spans="1:13" s="109" customFormat="1">
      <c r="A77" s="46"/>
      <c r="B77" s="46"/>
      <c r="C77" s="46"/>
      <c r="E77" s="46"/>
      <c r="F77" s="46"/>
      <c r="G77" s="46"/>
    </row>
    <row r="78" spans="1:13" s="109" customFormat="1">
      <c r="A78" s="46"/>
      <c r="B78" s="46"/>
      <c r="C78" s="46"/>
      <c r="E78" s="46"/>
      <c r="F78" s="46"/>
      <c r="G78" s="46"/>
    </row>
    <row r="79" spans="1:13" s="109" customFormat="1">
      <c r="A79" s="46"/>
      <c r="B79" s="46"/>
      <c r="C79" s="46"/>
      <c r="E79" s="46"/>
      <c r="F79" s="46"/>
      <c r="G79" s="46"/>
    </row>
    <row r="80" spans="1:13" s="109" customFormat="1">
      <c r="A80" s="46"/>
      <c r="B80" s="46"/>
      <c r="C80" s="46"/>
      <c r="D80" s="46"/>
      <c r="E80" s="46"/>
      <c r="F80" s="46"/>
      <c r="G80" s="46"/>
    </row>
    <row r="81" spans="1:11" s="109" customFormat="1">
      <c r="A81" s="46"/>
      <c r="B81" s="46"/>
      <c r="C81" s="46"/>
      <c r="D81" s="46"/>
      <c r="E81" s="46"/>
      <c r="F81" s="46"/>
      <c r="G81" s="46"/>
    </row>
    <row r="82" spans="1:11" s="109" customFormat="1">
      <c r="A82" s="46"/>
      <c r="B82" s="46"/>
      <c r="C82" s="46"/>
      <c r="D82" s="46"/>
      <c r="E82" s="46"/>
      <c r="F82" s="46"/>
      <c r="G82" s="46"/>
      <c r="H82" s="46"/>
    </row>
    <row r="83" spans="1:11" s="109" customFormat="1">
      <c r="A83" s="46"/>
      <c r="B83" s="46"/>
      <c r="C83" s="46"/>
      <c r="D83" s="46"/>
      <c r="E83" s="46"/>
      <c r="F83" s="46"/>
      <c r="G83" s="46"/>
      <c r="H83" s="46"/>
    </row>
    <row r="84" spans="1:11" s="109" customFormat="1">
      <c r="A84" s="46"/>
      <c r="B84" s="46"/>
      <c r="C84" s="46"/>
      <c r="D84" s="46"/>
      <c r="E84" s="46"/>
      <c r="F84" s="46"/>
      <c r="G84" s="46"/>
      <c r="H84" s="46"/>
    </row>
    <row r="85" spans="1:11" s="109" customFormat="1">
      <c r="A85" s="46"/>
      <c r="B85" s="46"/>
      <c r="C85" s="46"/>
      <c r="D85" s="46"/>
      <c r="E85" s="46"/>
      <c r="F85" s="46"/>
      <c r="G85" s="46"/>
      <c r="H85" s="46"/>
    </row>
    <row r="86" spans="1:11" s="109" customFormat="1">
      <c r="A86" s="46"/>
      <c r="B86" s="46"/>
      <c r="C86" s="46"/>
      <c r="D86" s="46"/>
      <c r="E86" s="46"/>
      <c r="F86" s="46"/>
      <c r="G86" s="46"/>
      <c r="H86" s="46"/>
      <c r="K86" s="46"/>
    </row>
    <row r="87" spans="1:11" s="109" customFormat="1">
      <c r="A87" s="46"/>
      <c r="B87" s="46"/>
      <c r="C87" s="46"/>
      <c r="D87" s="46"/>
      <c r="E87" s="46"/>
      <c r="F87" s="46"/>
      <c r="G87" s="46"/>
      <c r="H87" s="46"/>
      <c r="K87" s="46"/>
    </row>
    <row r="88" spans="1:11" s="109" customFormat="1">
      <c r="A88" s="46"/>
      <c r="B88" s="46"/>
      <c r="C88" s="46"/>
      <c r="D88" s="46"/>
      <c r="E88" s="46"/>
      <c r="F88" s="46"/>
      <c r="G88" s="46"/>
      <c r="H88" s="46"/>
      <c r="K88" s="46"/>
    </row>
    <row r="89" spans="1:11" s="109" customFormat="1">
      <c r="A89" s="46"/>
      <c r="B89" s="46"/>
      <c r="C89" s="46"/>
      <c r="D89" s="46"/>
      <c r="E89" s="46"/>
      <c r="F89" s="46"/>
      <c r="G89" s="46"/>
      <c r="H89" s="46"/>
      <c r="K89" s="46"/>
    </row>
    <row r="90" spans="1:11" s="109" customFormat="1">
      <c r="A90" s="46"/>
      <c r="B90" s="46"/>
      <c r="C90" s="46"/>
      <c r="D90" s="46"/>
      <c r="E90" s="46"/>
      <c r="F90" s="46"/>
      <c r="G90" s="46"/>
      <c r="H90" s="46"/>
      <c r="K90" s="46"/>
    </row>
    <row r="91" spans="1:11" s="109" customFormat="1">
      <c r="A91" s="46"/>
      <c r="B91" s="46"/>
      <c r="C91" s="46"/>
      <c r="D91" s="46"/>
      <c r="E91" s="46"/>
      <c r="F91" s="46"/>
      <c r="G91" s="46"/>
      <c r="H91" s="46"/>
      <c r="K91" s="46"/>
    </row>
    <row r="92" spans="1:11" s="109" customFormat="1">
      <c r="A92" s="46"/>
      <c r="B92" s="46"/>
      <c r="C92" s="46"/>
      <c r="D92" s="46"/>
      <c r="E92" s="46"/>
      <c r="F92" s="46"/>
      <c r="G92" s="46"/>
      <c r="H92" s="46"/>
      <c r="K92" s="46"/>
    </row>
    <row r="93" spans="1:11" s="109" customFormat="1">
      <c r="A93" s="46"/>
      <c r="B93" s="46"/>
      <c r="C93" s="46"/>
      <c r="D93" s="46"/>
      <c r="E93" s="46"/>
      <c r="F93" s="46"/>
      <c r="G93" s="46"/>
      <c r="H93" s="46"/>
      <c r="K93" s="46"/>
    </row>
    <row r="94" spans="1:11" s="109" customFormat="1">
      <c r="A94" s="46"/>
      <c r="B94" s="46"/>
      <c r="C94" s="46"/>
      <c r="D94" s="46"/>
      <c r="E94" s="46"/>
      <c r="F94" s="46"/>
      <c r="G94" s="46"/>
      <c r="H94" s="46"/>
      <c r="K94" s="46"/>
    </row>
    <row r="95" spans="1:11" s="109" customFormat="1">
      <c r="A95" s="46"/>
      <c r="B95" s="46"/>
      <c r="C95" s="46"/>
      <c r="D95" s="46"/>
      <c r="E95" s="46"/>
      <c r="F95" s="46"/>
      <c r="G95" s="46"/>
      <c r="H95" s="46"/>
      <c r="K95" s="46"/>
    </row>
    <row r="96" spans="1:11" s="109" customFormat="1">
      <c r="A96" s="46"/>
      <c r="B96" s="46"/>
      <c r="C96" s="46"/>
      <c r="D96" s="46"/>
      <c r="E96" s="46"/>
      <c r="F96" s="46"/>
      <c r="G96" s="46"/>
      <c r="H96" s="46"/>
      <c r="K96" s="46"/>
    </row>
    <row r="97" spans="1:11" s="109" customFormat="1">
      <c r="A97" s="46"/>
      <c r="B97" s="46"/>
      <c r="C97" s="46"/>
      <c r="D97" s="46"/>
      <c r="E97" s="46"/>
      <c r="F97" s="46"/>
      <c r="G97" s="46"/>
      <c r="H97" s="46"/>
      <c r="K97" s="46"/>
    </row>
    <row r="98" spans="1:11" s="109" customFormat="1">
      <c r="A98" s="46"/>
      <c r="B98" s="46"/>
      <c r="C98" s="46"/>
      <c r="D98" s="46"/>
      <c r="E98" s="46"/>
      <c r="F98" s="46"/>
      <c r="G98" s="46"/>
      <c r="H98" s="46"/>
      <c r="K98" s="46"/>
    </row>
  </sheetData>
  <mergeCells count="3">
    <mergeCell ref="A2:J2"/>
    <mergeCell ref="A3:J3"/>
    <mergeCell ref="A4:J4"/>
  </mergeCells>
  <printOptions horizontalCentered="1"/>
  <pageMargins left="0.02" right="0.15" top="0.39" bottom="0.1" header="0.21" footer="0.1"/>
  <pageSetup scale="84" orientation="portrait" horizontalDpi="4294967293" verticalDpi="30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FF00"/>
  </sheetPr>
  <dimension ref="A1:N231"/>
  <sheetViews>
    <sheetView topLeftCell="A22" workbookViewId="0">
      <selection activeCell="E39" sqref="E39"/>
    </sheetView>
  </sheetViews>
  <sheetFormatPr defaultRowHeight="12.75"/>
  <cols>
    <col min="1" max="1" width="6" style="46" customWidth="1"/>
    <col min="2" max="3" width="9.140625" style="46"/>
    <col min="4" max="4" width="16.5703125" style="46" customWidth="1"/>
    <col min="5" max="5" width="12.42578125" style="46" customWidth="1"/>
    <col min="6" max="6" width="13.140625" style="46" customWidth="1"/>
    <col min="7" max="7" width="10" style="46" customWidth="1"/>
    <col min="8" max="8" width="11.5703125" style="46" customWidth="1"/>
    <col min="9" max="9" width="11.42578125" style="46" customWidth="1"/>
    <col min="10" max="10" width="13.28515625" style="109" customWidth="1"/>
    <col min="11" max="11" width="15.7109375" style="46" customWidth="1"/>
    <col min="12" max="12" width="16.85546875" style="109" customWidth="1"/>
    <col min="13" max="13" width="17" style="109" customWidth="1"/>
    <col min="14" max="14" width="17" style="46" customWidth="1"/>
    <col min="15" max="16384" width="9.140625" style="46"/>
  </cols>
  <sheetData>
    <row r="1" spans="1:13">
      <c r="A1" s="47"/>
      <c r="B1" s="48"/>
      <c r="C1" s="48"/>
      <c r="D1" s="48"/>
      <c r="E1" s="48"/>
      <c r="F1" s="48"/>
      <c r="G1" s="48"/>
      <c r="H1" s="48"/>
      <c r="I1" s="48"/>
      <c r="J1" s="169" t="s">
        <v>81</v>
      </c>
    </row>
    <row r="2" spans="1:13">
      <c r="A2" s="389" t="s">
        <v>80</v>
      </c>
      <c r="B2" s="390"/>
      <c r="C2" s="390"/>
      <c r="D2" s="390"/>
      <c r="E2" s="390"/>
      <c r="F2" s="390"/>
      <c r="G2" s="390"/>
      <c r="H2" s="390"/>
      <c r="I2" s="390"/>
      <c r="J2" s="391"/>
    </row>
    <row r="3" spans="1:13">
      <c r="A3" s="389" t="s">
        <v>211</v>
      </c>
      <c r="B3" s="390"/>
      <c r="C3" s="390"/>
      <c r="D3" s="390"/>
      <c r="E3" s="390"/>
      <c r="F3" s="390"/>
      <c r="G3" s="390"/>
      <c r="H3" s="390"/>
      <c r="I3" s="390"/>
      <c r="J3" s="391"/>
    </row>
    <row r="4" spans="1:13">
      <c r="A4" s="389"/>
      <c r="B4" s="390"/>
      <c r="C4" s="390"/>
      <c r="D4" s="390"/>
      <c r="E4" s="390"/>
      <c r="F4" s="390"/>
      <c r="G4" s="390"/>
      <c r="H4" s="390"/>
      <c r="I4" s="390"/>
      <c r="J4" s="391"/>
    </row>
    <row r="5" spans="1:13">
      <c r="A5" s="54" t="s">
        <v>77</v>
      </c>
      <c r="B5" s="217"/>
      <c r="C5" s="217"/>
      <c r="D5" s="217"/>
      <c r="E5" s="217"/>
      <c r="F5" s="217"/>
      <c r="G5" s="217"/>
      <c r="H5" s="217"/>
      <c r="I5" s="217"/>
      <c r="J5" s="170"/>
    </row>
    <row r="6" spans="1:13">
      <c r="A6" s="54" t="s">
        <v>76</v>
      </c>
      <c r="B6" s="55"/>
      <c r="C6" s="55"/>
      <c r="D6" s="55"/>
      <c r="E6" s="55"/>
      <c r="F6" s="55"/>
      <c r="G6" s="55"/>
      <c r="H6" s="55"/>
      <c r="I6" s="55"/>
      <c r="J6" s="171"/>
      <c r="K6" s="46" t="s">
        <v>210</v>
      </c>
    </row>
    <row r="7" spans="1:13">
      <c r="A7" s="47"/>
      <c r="B7" s="48"/>
      <c r="C7" s="48"/>
      <c r="D7" s="49"/>
      <c r="E7" s="88" t="s">
        <v>8</v>
      </c>
      <c r="F7" s="50"/>
      <c r="G7" s="52"/>
      <c r="H7" s="52"/>
      <c r="I7" s="53"/>
      <c r="J7" s="110"/>
    </row>
    <row r="8" spans="1:13">
      <c r="A8" s="54"/>
      <c r="B8" s="55"/>
      <c r="C8" s="55"/>
      <c r="D8" s="56"/>
      <c r="E8" s="216" t="s">
        <v>9</v>
      </c>
      <c r="F8" s="53"/>
      <c r="G8" s="59"/>
      <c r="H8" s="59"/>
      <c r="I8" s="58"/>
      <c r="J8" s="111"/>
    </row>
    <row r="9" spans="1:13">
      <c r="A9" s="61" t="s">
        <v>68</v>
      </c>
      <c r="B9" s="55"/>
      <c r="C9" s="55"/>
      <c r="D9" s="56"/>
      <c r="E9" s="216" t="s">
        <v>10</v>
      </c>
      <c r="F9" s="60" t="s">
        <v>12</v>
      </c>
      <c r="G9" s="60" t="s">
        <v>14</v>
      </c>
      <c r="H9" s="60" t="s">
        <v>20</v>
      </c>
      <c r="I9" s="60" t="s">
        <v>22</v>
      </c>
      <c r="J9" s="112" t="s">
        <v>24</v>
      </c>
    </row>
    <row r="10" spans="1:13">
      <c r="A10" s="54"/>
      <c r="B10" s="55"/>
      <c r="C10" s="55"/>
      <c r="D10" s="56"/>
      <c r="E10" s="216" t="s">
        <v>11</v>
      </c>
      <c r="F10" s="60" t="s">
        <v>13</v>
      </c>
      <c r="G10" s="59"/>
      <c r="H10" s="60" t="s">
        <v>21</v>
      </c>
      <c r="I10" s="60" t="s">
        <v>23</v>
      </c>
      <c r="J10" s="111"/>
    </row>
    <row r="11" spans="1:13">
      <c r="A11" s="62"/>
      <c r="B11" s="63"/>
      <c r="C11" s="63"/>
      <c r="D11" s="64"/>
      <c r="E11" s="65">
        <v>0.3</v>
      </c>
      <c r="F11" s="66">
        <v>0.7</v>
      </c>
      <c r="G11" s="59"/>
      <c r="H11" s="67"/>
      <c r="I11" s="68"/>
      <c r="J11" s="113"/>
    </row>
    <row r="12" spans="1:13" ht="18" customHeight="1">
      <c r="A12" s="70" t="s">
        <v>0</v>
      </c>
      <c r="B12" s="71"/>
      <c r="C12" s="71"/>
      <c r="D12" s="72"/>
      <c r="E12" s="51"/>
      <c r="F12" s="51"/>
      <c r="G12" s="51"/>
      <c r="H12" s="51"/>
      <c r="I12" s="51"/>
      <c r="J12" s="110"/>
      <c r="L12" s="118" t="s">
        <v>90</v>
      </c>
      <c r="M12" s="118" t="s">
        <v>89</v>
      </c>
    </row>
    <row r="13" spans="1:13" ht="18" customHeight="1">
      <c r="A13" s="73" t="s">
        <v>1</v>
      </c>
      <c r="B13" s="72"/>
      <c r="C13" s="72"/>
      <c r="D13" s="72"/>
      <c r="E13" s="94">
        <f>M19*0.3</f>
        <v>487799.83049999987</v>
      </c>
      <c r="F13" s="94">
        <f>M19*0.7</f>
        <v>1138199.6044999997</v>
      </c>
      <c r="G13" s="94"/>
      <c r="H13" s="94"/>
      <c r="I13" s="94"/>
      <c r="J13" s="275">
        <f>SUM(E13:I13)</f>
        <v>1625999.4349999996</v>
      </c>
      <c r="K13" s="175" t="e">
        <f>SUM(J13+#REF!+#REF!+#REF!+#REF!+#REF!+#REF!+#REF!+#REF!+#REF!+#REF!+#REF!)</f>
        <v>#REF!</v>
      </c>
      <c r="L13" s="109">
        <v>21367644.399999999</v>
      </c>
      <c r="M13" s="109">
        <v>4171566.4</v>
      </c>
    </row>
    <row r="14" spans="1:13" ht="18" customHeight="1">
      <c r="A14" s="73" t="s">
        <v>2</v>
      </c>
      <c r="B14" s="72"/>
      <c r="C14" s="72"/>
      <c r="D14" s="72"/>
      <c r="E14" s="102"/>
      <c r="F14" s="102"/>
      <c r="G14" s="102"/>
      <c r="H14" s="102"/>
      <c r="I14" s="102"/>
      <c r="J14" s="110">
        <f>SUM(E14:I14)</f>
        <v>0</v>
      </c>
      <c r="K14" s="117" t="s">
        <v>88</v>
      </c>
      <c r="L14" s="109">
        <v>9400000</v>
      </c>
      <c r="M14" s="109">
        <v>5637398.9699999997</v>
      </c>
    </row>
    <row r="15" spans="1:13" ht="18" customHeight="1">
      <c r="A15" s="75" t="s">
        <v>3</v>
      </c>
      <c r="B15" s="48"/>
      <c r="C15" s="48"/>
      <c r="D15" s="48"/>
      <c r="E15" s="102"/>
      <c r="F15" s="102"/>
      <c r="G15" s="102"/>
      <c r="H15" s="102"/>
      <c r="I15" s="102"/>
      <c r="J15" s="110"/>
      <c r="L15" s="116">
        <f>SUM(L13:L14)</f>
        <v>30767644.399999999</v>
      </c>
      <c r="M15" s="116">
        <f>SUM(M13:M14)</f>
        <v>9808965.3699999992</v>
      </c>
    </row>
    <row r="16" spans="1:13" ht="18" customHeight="1">
      <c r="A16" s="76" t="s">
        <v>78</v>
      </c>
      <c r="B16" s="55"/>
      <c r="C16" s="55"/>
      <c r="D16" s="55"/>
      <c r="E16" s="103"/>
      <c r="F16" s="103"/>
      <c r="G16" s="103"/>
      <c r="H16" s="103"/>
      <c r="I16" s="103"/>
      <c r="J16" s="113">
        <f>SUM(E16:I16)</f>
        <v>0</v>
      </c>
      <c r="K16" s="46">
        <v>11930281.960000001</v>
      </c>
    </row>
    <row r="17" spans="1:13" ht="18" customHeight="1">
      <c r="A17" s="77" t="s">
        <v>79</v>
      </c>
      <c r="B17" s="72"/>
      <c r="C17" s="72"/>
      <c r="D17" s="72"/>
      <c r="E17" s="94"/>
      <c r="F17" s="94"/>
      <c r="G17" s="94"/>
      <c r="H17" s="94"/>
      <c r="I17" s="94"/>
      <c r="J17" s="113">
        <f>SUM(E17:I17)</f>
        <v>0</v>
      </c>
      <c r="K17" s="173">
        <f>K16-J16</f>
        <v>11930281.960000001</v>
      </c>
      <c r="M17" s="109">
        <v>25936573.030000001</v>
      </c>
    </row>
    <row r="18" spans="1:13" ht="18" customHeight="1">
      <c r="A18" s="70" t="s">
        <v>7</v>
      </c>
      <c r="B18" s="72"/>
      <c r="C18" s="72"/>
      <c r="D18" s="72"/>
      <c r="E18" s="119">
        <f>SUM(E13:E17)</f>
        <v>487799.83049999987</v>
      </c>
      <c r="F18" s="119">
        <f t="shared" ref="F18:J18" si="0">SUM(F13:F17)</f>
        <v>1138199.6044999997</v>
      </c>
      <c r="G18" s="119">
        <f t="shared" si="0"/>
        <v>0</v>
      </c>
      <c r="H18" s="119">
        <f t="shared" si="0"/>
        <v>0</v>
      </c>
      <c r="I18" s="119">
        <f t="shared" si="0"/>
        <v>0</v>
      </c>
      <c r="J18" s="119">
        <f t="shared" si="0"/>
        <v>1625999.4349999996</v>
      </c>
      <c r="K18" s="166">
        <f t="shared" ref="K18:K41" si="1">SUM(E18:I18)</f>
        <v>1625999.4349999996</v>
      </c>
      <c r="L18" s="193" t="s">
        <v>171</v>
      </c>
      <c r="M18" s="192">
        <f>519089526.21-486569537.51</f>
        <v>32519988.699999988</v>
      </c>
    </row>
    <row r="19" spans="1:13" s="109" customFormat="1" ht="18" customHeight="1">
      <c r="A19" s="74" t="s">
        <v>99</v>
      </c>
      <c r="B19" s="72" t="s">
        <v>100</v>
      </c>
      <c r="C19" s="72"/>
      <c r="D19" s="72"/>
      <c r="E19" s="94">
        <f>SUM('DRRM Funds Oct 2014 '!E42)</f>
        <v>13961306.337900002</v>
      </c>
      <c r="F19" s="94">
        <f>SUM('DRRM Funds Oct 2014 '!F42)</f>
        <v>22431623.441199999</v>
      </c>
      <c r="G19" s="94">
        <f>SUM('DRRM Funds Oct 2014 '!G42)</f>
        <v>0</v>
      </c>
      <c r="H19" s="94">
        <f>SUM('DRRM Funds Oct 2014 '!H42)</f>
        <v>10140</v>
      </c>
      <c r="I19" s="94">
        <f>SUM('DRRM Funds Oct 2014 '!I42)</f>
        <v>0</v>
      </c>
      <c r="J19" s="94">
        <f>SUM('DRRM Funds Oct 2014 '!J42)</f>
        <v>36403069.779100001</v>
      </c>
      <c r="K19" s="166">
        <f t="shared" si="1"/>
        <v>36403069.779100001</v>
      </c>
      <c r="L19" s="194">
        <v>0.05</v>
      </c>
      <c r="M19" s="192">
        <f>M18*0.05</f>
        <v>1625999.4349999996</v>
      </c>
    </row>
    <row r="20" spans="1:13" s="109" customFormat="1" ht="18" customHeight="1">
      <c r="A20" s="70" t="s">
        <v>101</v>
      </c>
      <c r="B20" s="122"/>
      <c r="C20" s="72"/>
      <c r="D20" s="72"/>
      <c r="E20" s="119">
        <f>SUM(E18:E19)</f>
        <v>14449106.168400001</v>
      </c>
      <c r="F20" s="119">
        <f t="shared" ref="F20:J20" si="2">SUM(F18:F19)</f>
        <v>23569823.045699999</v>
      </c>
      <c r="G20" s="119">
        <f t="shared" si="2"/>
        <v>0</v>
      </c>
      <c r="H20" s="119">
        <f t="shared" si="2"/>
        <v>10140</v>
      </c>
      <c r="I20" s="119">
        <f t="shared" si="2"/>
        <v>0</v>
      </c>
      <c r="J20" s="119">
        <f t="shared" si="2"/>
        <v>38029069.214100003</v>
      </c>
      <c r="K20" s="166">
        <f t="shared" si="1"/>
        <v>38029069.214100003</v>
      </c>
    </row>
    <row r="21" spans="1:13" ht="18" customHeight="1">
      <c r="A21" s="70" t="s">
        <v>15</v>
      </c>
      <c r="B21" s="72"/>
      <c r="C21" s="72"/>
      <c r="D21" s="72"/>
      <c r="E21" s="94"/>
      <c r="F21" s="94"/>
      <c r="G21" s="94"/>
      <c r="H21" s="94"/>
      <c r="I21" s="94"/>
      <c r="J21" s="114"/>
      <c r="K21" s="166">
        <f t="shared" si="1"/>
        <v>0</v>
      </c>
      <c r="M21" s="109">
        <v>26972032.48</v>
      </c>
    </row>
    <row r="22" spans="1:13" ht="18" customHeight="1">
      <c r="A22" s="78" t="s">
        <v>206</v>
      </c>
      <c r="B22" s="72"/>
      <c r="C22" s="72"/>
      <c r="D22" s="72"/>
      <c r="E22" s="94"/>
      <c r="F22" s="94"/>
      <c r="G22" s="94"/>
      <c r="H22" s="94"/>
      <c r="I22" s="94"/>
      <c r="J22" s="114">
        <f>SUM(E22:I22)</f>
        <v>0</v>
      </c>
      <c r="K22" s="166"/>
    </row>
    <row r="23" spans="1:13" ht="18" customHeight="1">
      <c r="A23" s="78" t="s">
        <v>207</v>
      </c>
      <c r="B23" s="72"/>
      <c r="C23" s="72"/>
      <c r="D23" s="72"/>
      <c r="E23" s="94"/>
      <c r="F23" s="94"/>
      <c r="G23" s="94"/>
      <c r="H23" s="94"/>
      <c r="I23" s="94"/>
      <c r="J23" s="114">
        <f t="shared" ref="J23:J24" si="3">SUM(E23:I23)</f>
        <v>0</v>
      </c>
      <c r="K23" s="166"/>
    </row>
    <row r="24" spans="1:13" ht="18" customHeight="1">
      <c r="A24" s="78" t="s">
        <v>16</v>
      </c>
      <c r="B24" s="72"/>
      <c r="C24" s="72"/>
      <c r="D24" s="72"/>
      <c r="E24" s="94"/>
      <c r="F24" s="94"/>
      <c r="G24" s="94"/>
      <c r="H24" s="94"/>
      <c r="I24" s="94"/>
      <c r="J24" s="114">
        <f t="shared" si="3"/>
        <v>0</v>
      </c>
      <c r="K24" s="166">
        <f t="shared" si="1"/>
        <v>0</v>
      </c>
      <c r="L24" s="176">
        <f>518731460.56*0.05</f>
        <v>25936573.028000001</v>
      </c>
      <c r="M24" s="109">
        <v>10934284.82</v>
      </c>
    </row>
    <row r="25" spans="1:13" ht="18" customHeight="1">
      <c r="A25" s="78" t="s">
        <v>70</v>
      </c>
      <c r="B25" s="72"/>
      <c r="C25" s="72"/>
      <c r="D25" s="72"/>
      <c r="E25" s="94"/>
      <c r="F25" s="94">
        <v>141088</v>
      </c>
      <c r="G25" s="94"/>
      <c r="H25" s="94"/>
      <c r="I25" s="94"/>
      <c r="J25" s="114">
        <f>SUM(E25:I25)</f>
        <v>141088</v>
      </c>
      <c r="K25" s="166">
        <f t="shared" si="1"/>
        <v>141088</v>
      </c>
      <c r="L25" s="109" t="e">
        <f>L24-K13</f>
        <v>#REF!</v>
      </c>
      <c r="M25" s="109">
        <f>M21-M24</f>
        <v>16037747.66</v>
      </c>
    </row>
    <row r="26" spans="1:13" ht="18" customHeight="1">
      <c r="A26" s="78" t="s">
        <v>71</v>
      </c>
      <c r="B26" s="72"/>
      <c r="C26" s="72"/>
      <c r="D26" s="72"/>
      <c r="E26" s="94"/>
      <c r="F26" s="94">
        <v>213274.15</v>
      </c>
      <c r="G26" s="94"/>
      <c r="H26" s="94"/>
      <c r="I26" s="94"/>
      <c r="J26" s="114">
        <f t="shared" ref="J26:J38" si="4">SUM(E26:I26)</f>
        <v>213274.15</v>
      </c>
      <c r="K26" s="166">
        <f t="shared" si="1"/>
        <v>213274.15</v>
      </c>
    </row>
    <row r="27" spans="1:13" ht="18" customHeight="1">
      <c r="A27" s="79" t="s">
        <v>91</v>
      </c>
      <c r="B27" s="72"/>
      <c r="C27" s="72"/>
      <c r="D27" s="72"/>
      <c r="E27" s="94"/>
      <c r="F27" s="94">
        <v>10000</v>
      </c>
      <c r="G27" s="94"/>
      <c r="H27" s="94"/>
      <c r="I27" s="94"/>
      <c r="J27" s="114">
        <f t="shared" si="4"/>
        <v>10000</v>
      </c>
      <c r="K27" s="166">
        <f t="shared" si="1"/>
        <v>10000</v>
      </c>
    </row>
    <row r="28" spans="1:13" ht="18" customHeight="1">
      <c r="A28" s="78" t="s">
        <v>17</v>
      </c>
      <c r="B28" s="72"/>
      <c r="C28" s="72"/>
      <c r="D28" s="72"/>
      <c r="E28" s="94"/>
      <c r="F28" s="94"/>
      <c r="G28" s="94"/>
      <c r="H28" s="94"/>
      <c r="I28" s="94"/>
      <c r="J28" s="114">
        <f t="shared" si="4"/>
        <v>0</v>
      </c>
      <c r="K28" s="166">
        <f t="shared" si="1"/>
        <v>0</v>
      </c>
    </row>
    <row r="29" spans="1:13" ht="18" customHeight="1">
      <c r="A29" s="78" t="s">
        <v>18</v>
      </c>
      <c r="B29" s="72"/>
      <c r="C29" s="72"/>
      <c r="D29" s="72"/>
      <c r="E29" s="94"/>
      <c r="F29" s="94">
        <v>52230</v>
      </c>
      <c r="G29" s="94"/>
      <c r="H29" s="94"/>
      <c r="I29" s="94"/>
      <c r="J29" s="114">
        <f t="shared" si="4"/>
        <v>52230</v>
      </c>
      <c r="K29" s="166">
        <f t="shared" si="1"/>
        <v>52230</v>
      </c>
      <c r="L29" s="118" t="s">
        <v>162</v>
      </c>
    </row>
    <row r="30" spans="1:13" ht="18" customHeight="1">
      <c r="A30" s="78" t="s">
        <v>102</v>
      </c>
      <c r="B30" s="72"/>
      <c r="C30" s="72"/>
      <c r="D30" s="72"/>
      <c r="E30" s="94"/>
      <c r="F30" s="94">
        <v>946000</v>
      </c>
      <c r="G30" s="94"/>
      <c r="H30" s="94"/>
      <c r="I30" s="94"/>
      <c r="J30" s="114">
        <f t="shared" si="4"/>
        <v>946000</v>
      </c>
      <c r="K30" s="166">
        <f t="shared" si="1"/>
        <v>946000</v>
      </c>
      <c r="L30" s="109">
        <f>SUM(F29:F30)</f>
        <v>998230</v>
      </c>
    </row>
    <row r="31" spans="1:13" ht="18" customHeight="1">
      <c r="A31" s="78" t="s">
        <v>19</v>
      </c>
      <c r="B31" s="72"/>
      <c r="C31" s="72"/>
      <c r="D31" s="72"/>
      <c r="E31" s="94"/>
      <c r="F31" s="94"/>
      <c r="G31" s="94"/>
      <c r="H31" s="94"/>
      <c r="I31" s="94"/>
      <c r="J31" s="114">
        <f t="shared" si="4"/>
        <v>0</v>
      </c>
      <c r="K31" s="166">
        <f t="shared" si="1"/>
        <v>0</v>
      </c>
      <c r="L31" s="109">
        <v>147060</v>
      </c>
    </row>
    <row r="32" spans="1:13" ht="18" customHeight="1">
      <c r="A32" s="78" t="s">
        <v>168</v>
      </c>
      <c r="B32" s="72"/>
      <c r="C32" s="72"/>
      <c r="D32" s="72"/>
      <c r="E32" s="94"/>
      <c r="F32" s="94"/>
      <c r="G32" s="94"/>
      <c r="H32" s="94"/>
      <c r="I32" s="94"/>
      <c r="J32" s="114">
        <f t="shared" si="4"/>
        <v>0</v>
      </c>
      <c r="K32" s="166">
        <f t="shared" si="1"/>
        <v>0</v>
      </c>
    </row>
    <row r="33" spans="1:14" ht="18" customHeight="1">
      <c r="A33" s="78" t="s">
        <v>208</v>
      </c>
      <c r="B33" s="72"/>
      <c r="C33" s="72"/>
      <c r="D33" s="72"/>
      <c r="E33" s="94"/>
      <c r="F33" s="94"/>
      <c r="G33" s="94"/>
      <c r="H33" s="94"/>
      <c r="I33" s="94"/>
      <c r="J33" s="114"/>
      <c r="K33" s="166">
        <f t="shared" si="1"/>
        <v>0</v>
      </c>
      <c r="L33" s="109">
        <v>1555500</v>
      </c>
    </row>
    <row r="34" spans="1:14" ht="18" customHeight="1">
      <c r="A34" s="78"/>
      <c r="B34" s="72" t="s">
        <v>209</v>
      </c>
      <c r="C34" s="72"/>
      <c r="D34" s="72"/>
      <c r="E34" s="94"/>
      <c r="F34" s="94"/>
      <c r="G34" s="94"/>
      <c r="H34" s="94"/>
      <c r="I34" s="94"/>
      <c r="J34" s="114">
        <f t="shared" si="4"/>
        <v>0</v>
      </c>
      <c r="K34" s="166">
        <f t="shared" si="1"/>
        <v>0</v>
      </c>
      <c r="L34" s="109">
        <v>2209000</v>
      </c>
    </row>
    <row r="35" spans="1:14" ht="18" customHeight="1">
      <c r="A35" s="78" t="s">
        <v>75</v>
      </c>
      <c r="B35" s="72"/>
      <c r="C35" s="72"/>
      <c r="D35" s="72"/>
      <c r="E35" s="94"/>
      <c r="F35" s="94"/>
      <c r="G35" s="94"/>
      <c r="H35" s="94"/>
      <c r="I35" s="94"/>
      <c r="J35" s="114">
        <f t="shared" si="4"/>
        <v>0</v>
      </c>
      <c r="K35" s="166">
        <f t="shared" si="1"/>
        <v>0</v>
      </c>
      <c r="L35" s="109">
        <v>173800</v>
      </c>
    </row>
    <row r="36" spans="1:14" ht="18" customHeight="1">
      <c r="A36" s="79" t="s">
        <v>94</v>
      </c>
      <c r="B36" s="72"/>
      <c r="C36" s="72"/>
      <c r="D36" s="72"/>
      <c r="E36" s="94">
        <v>942982.84</v>
      </c>
      <c r="F36" s="94"/>
      <c r="G36" s="94"/>
      <c r="H36" s="94"/>
      <c r="I36" s="94"/>
      <c r="J36" s="114">
        <f t="shared" si="4"/>
        <v>942982.84</v>
      </c>
      <c r="K36" s="166">
        <f t="shared" si="1"/>
        <v>942982.84</v>
      </c>
      <c r="L36" s="109">
        <v>177000</v>
      </c>
    </row>
    <row r="37" spans="1:14" ht="18" customHeight="1">
      <c r="A37" s="79" t="s">
        <v>95</v>
      </c>
      <c r="B37" s="72"/>
      <c r="C37" s="72"/>
      <c r="D37" s="72"/>
      <c r="E37" s="94"/>
      <c r="F37" s="94"/>
      <c r="G37" s="94"/>
      <c r="H37" s="94"/>
      <c r="I37" s="94"/>
      <c r="J37" s="114">
        <f t="shared" si="4"/>
        <v>0</v>
      </c>
      <c r="K37" s="166">
        <f t="shared" si="1"/>
        <v>0</v>
      </c>
      <c r="L37" s="109">
        <v>204055</v>
      </c>
    </row>
    <row r="38" spans="1:14" ht="18" customHeight="1">
      <c r="A38" s="78" t="s">
        <v>96</v>
      </c>
      <c r="B38" s="72"/>
      <c r="C38" s="72"/>
      <c r="D38" s="72"/>
      <c r="E38" s="94"/>
      <c r="F38" s="94"/>
      <c r="G38" s="94"/>
      <c r="H38" s="94"/>
      <c r="I38" s="94"/>
      <c r="J38" s="114">
        <f t="shared" si="4"/>
        <v>0</v>
      </c>
      <c r="K38" s="166">
        <f t="shared" si="1"/>
        <v>0</v>
      </c>
      <c r="L38" s="109">
        <v>71070</v>
      </c>
    </row>
    <row r="39" spans="1:14" ht="18" customHeight="1">
      <c r="A39" s="84" t="s">
        <v>92</v>
      </c>
      <c r="B39" s="63"/>
      <c r="C39" s="63"/>
      <c r="D39" s="63"/>
      <c r="E39" s="311">
        <f t="shared" ref="E39:J39" si="5">SUM(E22:E38)</f>
        <v>942982.84</v>
      </c>
      <c r="F39" s="94">
        <f t="shared" si="5"/>
        <v>1362592.15</v>
      </c>
      <c r="G39" s="94">
        <f t="shared" si="5"/>
        <v>0</v>
      </c>
      <c r="H39" s="94">
        <f t="shared" si="5"/>
        <v>0</v>
      </c>
      <c r="I39" s="94">
        <f t="shared" si="5"/>
        <v>0</v>
      </c>
      <c r="J39" s="94">
        <f t="shared" si="5"/>
        <v>2305574.9899999998</v>
      </c>
      <c r="K39" s="166">
        <f t="shared" si="1"/>
        <v>2305574.9899999998</v>
      </c>
      <c r="L39" s="109">
        <v>27800</v>
      </c>
      <c r="M39" s="46"/>
    </row>
    <row r="40" spans="1:14" ht="18" customHeight="1">
      <c r="A40" s="84" t="s">
        <v>103</v>
      </c>
      <c r="B40" s="63"/>
      <c r="C40" s="63"/>
      <c r="D40" s="63"/>
      <c r="E40" s="103">
        <f>SUM('DRRM Funds Oct 2014 '!E41)</f>
        <v>1494196.24</v>
      </c>
      <c r="F40" s="103">
        <f>SUM('DRRM Funds Oct 2014 '!F41)</f>
        <v>10525917.659999998</v>
      </c>
      <c r="G40" s="103">
        <f>SUM('DRRM Funds Oct 2014 '!G41)</f>
        <v>0</v>
      </c>
      <c r="H40" s="103">
        <f>SUM('DRRM Funds Oct 2014 '!H41)</f>
        <v>0</v>
      </c>
      <c r="I40" s="103">
        <f>SUM('DRRM Funds Oct 2014 '!I41)</f>
        <v>0</v>
      </c>
      <c r="J40" s="103">
        <f>SUM('DRRM Funds Oct 2014 '!J41)</f>
        <v>12020113.9</v>
      </c>
      <c r="K40" s="166">
        <f t="shared" si="1"/>
        <v>12020113.899999999</v>
      </c>
      <c r="L40" s="109">
        <v>126865</v>
      </c>
      <c r="M40" s="109">
        <f>SUM(E40:H40)</f>
        <v>12020113.899999999</v>
      </c>
    </row>
    <row r="41" spans="1:14" ht="18" customHeight="1">
      <c r="A41" s="84" t="s">
        <v>104</v>
      </c>
      <c r="B41" s="63"/>
      <c r="C41" s="63"/>
      <c r="D41" s="63"/>
      <c r="E41" s="103">
        <f>SUM(E39:E40)</f>
        <v>2437179.08</v>
      </c>
      <c r="F41" s="103">
        <f>SUM(F39:F40)</f>
        <v>11888509.809999999</v>
      </c>
      <c r="G41" s="103">
        <f t="shared" ref="G41:J41" si="6">SUM(G39:G40)</f>
        <v>0</v>
      </c>
      <c r="H41" s="103">
        <f t="shared" si="6"/>
        <v>0</v>
      </c>
      <c r="I41" s="103">
        <f t="shared" si="6"/>
        <v>0</v>
      </c>
      <c r="J41" s="103">
        <f t="shared" si="6"/>
        <v>14325688.890000001</v>
      </c>
      <c r="K41" s="166">
        <f t="shared" si="1"/>
        <v>14325688.889999999</v>
      </c>
      <c r="L41" s="174">
        <f>SUM(L30:L40)</f>
        <v>5690380</v>
      </c>
      <c r="M41" s="109">
        <v>10492358.970000001</v>
      </c>
    </row>
    <row r="42" spans="1:14" ht="18" customHeight="1">
      <c r="A42" s="70" t="s">
        <v>93</v>
      </c>
      <c r="B42" s="72"/>
      <c r="C42" s="72"/>
      <c r="D42" s="80"/>
      <c r="E42" s="120">
        <f t="shared" ref="E42:J42" si="7">E20-E39</f>
        <v>13506123.328400001</v>
      </c>
      <c r="F42" s="120">
        <f t="shared" si="7"/>
        <v>22207230.8957</v>
      </c>
      <c r="G42" s="120">
        <f t="shared" si="7"/>
        <v>0</v>
      </c>
      <c r="H42" s="120">
        <f t="shared" si="7"/>
        <v>10140</v>
      </c>
      <c r="I42" s="120">
        <f t="shared" si="7"/>
        <v>0</v>
      </c>
      <c r="J42" s="120">
        <f t="shared" si="7"/>
        <v>35723494.224100001</v>
      </c>
      <c r="K42" s="166">
        <f>SUM(E42:I42)</f>
        <v>35723494.224100001</v>
      </c>
      <c r="L42" s="46"/>
      <c r="M42" s="109">
        <f>M41-L41</f>
        <v>4801978.9700000007</v>
      </c>
    </row>
    <row r="43" spans="1:14" ht="18" customHeight="1">
      <c r="A43" s="55"/>
      <c r="B43" s="55"/>
      <c r="C43" s="55"/>
      <c r="D43" s="55"/>
      <c r="E43" s="55"/>
      <c r="F43" s="55"/>
      <c r="G43" s="55"/>
      <c r="H43" s="55"/>
      <c r="I43" s="55"/>
      <c r="J43" s="115" t="s">
        <v>74</v>
      </c>
      <c r="K43" s="92">
        <f>SUM(E42:F42)</f>
        <v>35713354.224100001</v>
      </c>
      <c r="M43" s="109">
        <v>0</v>
      </c>
    </row>
    <row r="44" spans="1:14" ht="18" customHeight="1">
      <c r="A44" s="55"/>
      <c r="B44" s="55"/>
      <c r="C44" s="55"/>
      <c r="D44" s="55"/>
      <c r="E44" s="55"/>
      <c r="F44" s="55"/>
      <c r="G44" s="55"/>
      <c r="H44" s="55"/>
      <c r="I44" s="55"/>
      <c r="J44" s="115"/>
      <c r="K44" s="92">
        <f>SUM(E41:F41)</f>
        <v>14325688.889999999</v>
      </c>
      <c r="M44" s="109">
        <f>SUM(M42:M43)</f>
        <v>4801978.9700000007</v>
      </c>
      <c r="N44" s="173">
        <f>SUM(L41+M44)</f>
        <v>10492358.970000001</v>
      </c>
    </row>
    <row r="45" spans="1:14">
      <c r="A45" s="55" t="s">
        <v>83</v>
      </c>
      <c r="B45" s="55"/>
      <c r="C45" s="55"/>
      <c r="D45" s="55"/>
      <c r="E45" s="55"/>
      <c r="F45" s="55"/>
      <c r="G45" s="55"/>
      <c r="H45" s="55" t="s">
        <v>29</v>
      </c>
      <c r="I45" s="55"/>
      <c r="J45" s="115"/>
      <c r="K45" s="55"/>
      <c r="L45" s="109">
        <v>752760</v>
      </c>
    </row>
    <row r="46" spans="1:14">
      <c r="A46" s="55"/>
      <c r="B46" s="55"/>
      <c r="C46" s="55"/>
      <c r="D46" s="55"/>
      <c r="E46" s="55"/>
      <c r="F46" s="55"/>
      <c r="G46" s="55"/>
      <c r="H46" s="55"/>
      <c r="I46" s="55"/>
      <c r="J46" s="115"/>
      <c r="K46" s="55"/>
      <c r="L46" s="109">
        <v>902075</v>
      </c>
    </row>
    <row r="47" spans="1:14">
      <c r="A47" s="55"/>
      <c r="B47" s="55"/>
      <c r="C47" s="55"/>
      <c r="D47" s="55"/>
      <c r="E47" s="55"/>
      <c r="F47" s="55"/>
      <c r="G47" s="55"/>
      <c r="H47" s="172"/>
      <c r="I47" s="55"/>
      <c r="J47" s="115"/>
      <c r="K47" s="55"/>
      <c r="L47" s="109">
        <v>1032329.7</v>
      </c>
      <c r="M47" s="109">
        <v>1897753.11</v>
      </c>
    </row>
    <row r="48" spans="1:14">
      <c r="A48" s="55" t="s">
        <v>202</v>
      </c>
      <c r="B48" s="55"/>
      <c r="C48" s="55"/>
      <c r="D48" s="55"/>
      <c r="E48" s="55"/>
      <c r="F48" s="55"/>
      <c r="G48" s="55"/>
      <c r="H48" s="140" t="s">
        <v>194</v>
      </c>
      <c r="I48" s="55"/>
      <c r="J48" s="115"/>
      <c r="K48" s="55"/>
      <c r="L48" s="109">
        <v>504234.65</v>
      </c>
      <c r="M48" s="109">
        <v>8736531.7100000009</v>
      </c>
    </row>
    <row r="49" spans="1:13">
      <c r="A49" s="140" t="s">
        <v>203</v>
      </c>
      <c r="B49" s="55"/>
      <c r="C49" s="55"/>
      <c r="D49" s="55"/>
      <c r="E49" s="55"/>
      <c r="F49" s="55"/>
      <c r="G49" s="55"/>
      <c r="H49" s="140" t="s">
        <v>195</v>
      </c>
      <c r="I49" s="55"/>
      <c r="J49" s="115"/>
      <c r="K49" s="55"/>
      <c r="L49" s="109">
        <v>899145</v>
      </c>
      <c r="M49" s="109">
        <v>10140</v>
      </c>
    </row>
    <row r="50" spans="1:13">
      <c r="A50" s="55"/>
      <c r="B50" s="55"/>
      <c r="C50" s="55"/>
      <c r="D50" s="55"/>
      <c r="E50" s="121"/>
      <c r="F50" s="55"/>
      <c r="G50" s="55"/>
      <c r="H50" s="55"/>
      <c r="I50" s="55"/>
      <c r="J50" s="115"/>
      <c r="K50" s="55"/>
      <c r="L50" s="109">
        <v>1087927.3999999999</v>
      </c>
      <c r="M50" s="109">
        <f>SUM(M47:M49)</f>
        <v>10644424.82</v>
      </c>
    </row>
    <row r="51" spans="1:13">
      <c r="A51" s="55"/>
      <c r="B51" s="55"/>
      <c r="C51" s="55"/>
      <c r="D51" s="55"/>
      <c r="E51" s="115"/>
      <c r="F51" s="55"/>
      <c r="G51" s="55"/>
      <c r="H51" s="55"/>
      <c r="I51" s="115"/>
      <c r="J51" s="115"/>
      <c r="K51" s="55"/>
      <c r="L51" s="109">
        <v>2896515.5</v>
      </c>
    </row>
    <row r="52" spans="1:13">
      <c r="A52" s="55"/>
      <c r="B52" s="55"/>
      <c r="C52" s="55"/>
      <c r="D52" s="55"/>
      <c r="E52" s="55"/>
      <c r="F52" s="55"/>
      <c r="G52" s="55"/>
      <c r="H52" s="55"/>
      <c r="I52" s="115"/>
      <c r="J52" s="115"/>
      <c r="K52" s="55"/>
      <c r="L52" s="109">
        <v>120000</v>
      </c>
    </row>
    <row r="53" spans="1:13">
      <c r="I53" s="109"/>
      <c r="M53" s="46"/>
    </row>
    <row r="54" spans="1:13">
      <c r="F54" s="121">
        <f>F18-F55</f>
        <v>-1036954.6955000001</v>
      </c>
      <c r="I54" s="109"/>
      <c r="K54" s="55"/>
      <c r="L54" s="115">
        <v>630000</v>
      </c>
      <c r="M54" s="183">
        <v>10644424.82</v>
      </c>
    </row>
    <row r="55" spans="1:13">
      <c r="F55" s="115">
        <f>49980+103610+255752.8+265335+81917.75+32889+315132+287135.25+143400+640002.5</f>
        <v>2175154.2999999998</v>
      </c>
      <c r="I55" s="109"/>
      <c r="J55" s="109">
        <v>7850000</v>
      </c>
      <c r="L55" s="109">
        <v>1000000</v>
      </c>
      <c r="M55" s="183">
        <v>13157941.960000001</v>
      </c>
    </row>
    <row r="56" spans="1:13">
      <c r="I56" s="109"/>
      <c r="J56" s="109">
        <v>800000</v>
      </c>
      <c r="L56" s="109">
        <v>1300000</v>
      </c>
      <c r="M56" s="184">
        <v>0</v>
      </c>
    </row>
    <row r="57" spans="1:13">
      <c r="I57" s="109"/>
      <c r="J57" s="109">
        <v>1200000</v>
      </c>
      <c r="L57" s="109">
        <v>2000000</v>
      </c>
      <c r="M57" s="183">
        <f>SUM(M54:M56)</f>
        <v>23802366.780000001</v>
      </c>
    </row>
    <row r="58" spans="1:13">
      <c r="I58" s="109"/>
      <c r="J58" s="109">
        <v>3500000</v>
      </c>
      <c r="L58" s="109">
        <v>150000</v>
      </c>
      <c r="M58" s="183">
        <v>24092226.780000001</v>
      </c>
    </row>
    <row r="59" spans="1:13">
      <c r="I59" s="109">
        <v>100000</v>
      </c>
      <c r="J59" s="116">
        <f>SUM(J55:J58)</f>
        <v>13350000</v>
      </c>
      <c r="L59" s="109">
        <v>4590281.96</v>
      </c>
      <c r="M59" s="183">
        <f>M58-M57</f>
        <v>289860</v>
      </c>
    </row>
    <row r="60" spans="1:13">
      <c r="I60" s="109">
        <v>4589687.1100000003</v>
      </c>
      <c r="J60" s="109">
        <v>16829861.079999998</v>
      </c>
      <c r="L60" s="109">
        <f>SUM(L54:L59)</f>
        <v>9670281.9600000009</v>
      </c>
      <c r="M60" s="46"/>
    </row>
    <row r="61" spans="1:13">
      <c r="I61" s="116">
        <f>SUM(I55:I60)</f>
        <v>4689687.1100000003</v>
      </c>
      <c r="J61" s="109">
        <f>J59-J60</f>
        <v>-3479861.0799999982</v>
      </c>
      <c r="M61" s="109">
        <v>24416573.030000001</v>
      </c>
    </row>
    <row r="62" spans="1:13">
      <c r="I62" s="109">
        <v>7212797.6100000003</v>
      </c>
      <c r="M62" s="109">
        <v>24708913.030000001</v>
      </c>
    </row>
    <row r="63" spans="1:13">
      <c r="I63" s="109">
        <f>I61-I62</f>
        <v>-2523110.5</v>
      </c>
      <c r="M63" s="109">
        <f>M61-M62</f>
        <v>-292340</v>
      </c>
    </row>
    <row r="64" spans="1:13">
      <c r="I64" s="109"/>
      <c r="M64" s="109">
        <v>289860</v>
      </c>
    </row>
    <row r="65" spans="1:13">
      <c r="I65" s="109"/>
      <c r="J65" s="109">
        <v>25346381.800000001</v>
      </c>
      <c r="M65" s="173">
        <f>SUM(M63:M64)</f>
        <v>-2480</v>
      </c>
    </row>
    <row r="66" spans="1:13">
      <c r="I66" s="109"/>
      <c r="J66" s="109">
        <v>24042658.690000001</v>
      </c>
      <c r="M66" s="46"/>
    </row>
    <row r="67" spans="1:13">
      <c r="I67" s="109"/>
      <c r="J67" s="109">
        <f>J65-J66</f>
        <v>1303723.1099999994</v>
      </c>
      <c r="L67" s="109">
        <v>400000</v>
      </c>
      <c r="M67" s="46"/>
    </row>
    <row r="68" spans="1:13">
      <c r="I68" s="109"/>
      <c r="L68" s="109">
        <v>1000000</v>
      </c>
      <c r="M68" s="109">
        <v>25279.7</v>
      </c>
    </row>
    <row r="69" spans="1:13">
      <c r="I69" s="109"/>
      <c r="M69" s="109">
        <v>27759.7</v>
      </c>
    </row>
    <row r="70" spans="1:13">
      <c r="H70" s="109"/>
      <c r="I70" s="109"/>
      <c r="M70" s="173">
        <f>M68-M69</f>
        <v>-2480</v>
      </c>
    </row>
    <row r="71" spans="1:13">
      <c r="H71" s="109">
        <v>4455551.57</v>
      </c>
      <c r="I71" s="109"/>
      <c r="J71" s="109">
        <v>17496381.800000001</v>
      </c>
      <c r="M71" s="46"/>
    </row>
    <row r="72" spans="1:13">
      <c r="H72" s="109">
        <v>5760963.6399999997</v>
      </c>
      <c r="I72" s="109"/>
      <c r="J72" s="109">
        <v>7850000</v>
      </c>
      <c r="M72" s="46"/>
    </row>
    <row r="73" spans="1:13">
      <c r="H73" s="109">
        <f>SUM(H71:H72)</f>
        <v>10216515.210000001</v>
      </c>
      <c r="I73" s="109"/>
      <c r="J73" s="109">
        <f>SUM(J71:J72)</f>
        <v>25346381.800000001</v>
      </c>
      <c r="M73" s="46"/>
    </row>
    <row r="74" spans="1:13" s="109" customFormat="1">
      <c r="A74" s="46"/>
      <c r="B74" s="46"/>
      <c r="C74" s="46"/>
      <c r="D74" s="46"/>
      <c r="E74" s="46"/>
      <c r="F74" s="46"/>
      <c r="G74" s="46"/>
    </row>
    <row r="75" spans="1:13" s="109" customFormat="1">
      <c r="A75" s="46"/>
      <c r="B75" s="46"/>
      <c r="C75" s="46"/>
      <c r="D75" s="46"/>
      <c r="E75" s="46"/>
      <c r="F75" s="46"/>
      <c r="G75" s="46"/>
    </row>
    <row r="76" spans="1:13" s="109" customFormat="1">
      <c r="A76" s="46"/>
      <c r="B76" s="46"/>
      <c r="C76" s="46"/>
      <c r="D76" s="46"/>
      <c r="E76" s="46"/>
      <c r="F76" s="46"/>
      <c r="G76" s="46"/>
    </row>
    <row r="77" spans="1:13" s="109" customFormat="1">
      <c r="A77" s="46"/>
      <c r="B77" s="46"/>
      <c r="C77" s="46"/>
      <c r="D77" s="46"/>
      <c r="E77" s="46"/>
      <c r="F77" s="46"/>
      <c r="G77" s="46"/>
    </row>
    <row r="78" spans="1:13" s="109" customFormat="1">
      <c r="A78" s="46"/>
      <c r="B78" s="46"/>
      <c r="C78" s="46"/>
      <c r="D78" s="46"/>
      <c r="E78" s="46"/>
      <c r="F78" s="46"/>
      <c r="G78" s="46"/>
    </row>
    <row r="79" spans="1:13" s="109" customFormat="1">
      <c r="A79" s="46"/>
      <c r="B79" s="46"/>
      <c r="C79" s="46"/>
      <c r="D79" s="46"/>
      <c r="E79" s="46"/>
      <c r="F79" s="46"/>
      <c r="G79" s="46"/>
    </row>
    <row r="80" spans="1:13" s="109" customFormat="1">
      <c r="A80" s="46"/>
      <c r="B80" s="46"/>
      <c r="C80" s="46"/>
      <c r="D80" s="46"/>
      <c r="E80" s="46"/>
      <c r="F80" s="46"/>
      <c r="G80" s="46"/>
      <c r="H80" s="46"/>
    </row>
    <row r="81" spans="1:11" s="109" customFormat="1">
      <c r="A81" s="46"/>
      <c r="B81" s="46"/>
      <c r="C81" s="46"/>
      <c r="D81" s="46"/>
      <c r="E81" s="46"/>
      <c r="F81" s="46"/>
      <c r="G81" s="46"/>
      <c r="H81" s="46"/>
    </row>
    <row r="82" spans="1:11" s="109" customFormat="1">
      <c r="A82" s="46"/>
      <c r="B82" s="46"/>
      <c r="C82" s="46"/>
      <c r="D82" s="46"/>
      <c r="E82" s="46"/>
      <c r="F82" s="46"/>
      <c r="G82" s="46"/>
      <c r="H82" s="46"/>
    </row>
    <row r="83" spans="1:11" s="109" customFormat="1">
      <c r="A83" s="46"/>
      <c r="B83" s="46"/>
      <c r="C83" s="46"/>
      <c r="D83" s="46"/>
      <c r="E83" s="46"/>
      <c r="F83" s="46"/>
      <c r="G83" s="46"/>
      <c r="H83" s="46"/>
    </row>
    <row r="84" spans="1:11" s="109" customFormat="1">
      <c r="A84" s="46"/>
      <c r="B84" s="46"/>
      <c r="C84" s="46"/>
      <c r="D84" s="46"/>
      <c r="E84" s="46"/>
      <c r="F84" s="46"/>
      <c r="G84" s="46"/>
      <c r="H84" s="46"/>
      <c r="K84" s="46"/>
    </row>
    <row r="85" spans="1:11" s="109" customFormat="1">
      <c r="A85" s="46"/>
      <c r="B85" s="46"/>
      <c r="C85" s="46"/>
      <c r="D85" s="46"/>
      <c r="E85" s="46"/>
      <c r="F85" s="46"/>
      <c r="G85" s="46"/>
      <c r="H85" s="46"/>
      <c r="K85" s="46"/>
    </row>
    <row r="86" spans="1:11" s="109" customFormat="1">
      <c r="A86" s="46"/>
      <c r="B86" s="46"/>
      <c r="C86" s="46"/>
      <c r="D86" s="46"/>
      <c r="E86" s="46"/>
      <c r="F86" s="46"/>
      <c r="G86" s="46"/>
      <c r="H86" s="46"/>
      <c r="K86" s="46"/>
    </row>
    <row r="87" spans="1:11" s="109" customFormat="1">
      <c r="A87" s="46"/>
      <c r="B87" s="46"/>
      <c r="C87" s="46"/>
      <c r="D87" s="46"/>
      <c r="E87" s="46"/>
      <c r="F87" s="46"/>
      <c r="G87" s="46"/>
      <c r="H87" s="46"/>
      <c r="K87" s="46"/>
    </row>
    <row r="88" spans="1:11" s="109" customFormat="1">
      <c r="A88" s="46"/>
      <c r="B88" s="46"/>
      <c r="C88" s="46"/>
      <c r="D88" s="46"/>
      <c r="E88" s="46"/>
      <c r="F88" s="46"/>
      <c r="G88" s="46"/>
      <c r="H88" s="46"/>
      <c r="K88" s="46"/>
    </row>
    <row r="89" spans="1:11" s="109" customFormat="1">
      <c r="A89" s="46"/>
      <c r="B89" s="46"/>
      <c r="C89" s="46"/>
      <c r="D89" s="46"/>
      <c r="E89" s="46"/>
      <c r="F89" s="46"/>
      <c r="G89" s="46"/>
      <c r="H89" s="46"/>
      <c r="K89" s="46"/>
    </row>
    <row r="90" spans="1:11" s="109" customFormat="1">
      <c r="A90" s="46"/>
      <c r="B90" s="46"/>
      <c r="C90" s="46"/>
      <c r="D90" s="46"/>
      <c r="E90" s="46"/>
      <c r="F90" s="46"/>
      <c r="G90" s="46"/>
      <c r="H90" s="46"/>
      <c r="K90" s="46"/>
    </row>
    <row r="91" spans="1:11" s="109" customFormat="1">
      <c r="A91" s="46"/>
      <c r="B91" s="46"/>
      <c r="C91" s="46"/>
      <c r="D91" s="46"/>
      <c r="E91" s="46"/>
      <c r="F91" s="46"/>
      <c r="G91" s="46"/>
      <c r="H91" s="46"/>
      <c r="K91" s="46"/>
    </row>
    <row r="92" spans="1:11" s="109" customFormat="1">
      <c r="A92" s="46"/>
      <c r="B92" s="46"/>
      <c r="C92" s="46"/>
      <c r="D92" s="46"/>
      <c r="E92" s="46"/>
      <c r="F92" s="46"/>
      <c r="G92" s="46"/>
      <c r="H92" s="46"/>
      <c r="K92" s="46"/>
    </row>
    <row r="93" spans="1:11" s="109" customFormat="1">
      <c r="A93" s="46"/>
      <c r="B93" s="46"/>
      <c r="C93" s="46"/>
      <c r="D93" s="46"/>
      <c r="E93" s="46"/>
      <c r="F93" s="46"/>
      <c r="G93" s="46"/>
      <c r="H93" s="46"/>
      <c r="K93" s="46"/>
    </row>
    <row r="94" spans="1:11" s="109" customFormat="1">
      <c r="A94" s="46"/>
      <c r="B94" s="46"/>
      <c r="C94" s="46"/>
      <c r="D94" s="46"/>
      <c r="E94" s="46"/>
      <c r="F94" s="46"/>
      <c r="G94" s="46"/>
      <c r="H94" s="46"/>
      <c r="K94" s="46"/>
    </row>
    <row r="95" spans="1:11" s="109" customFormat="1">
      <c r="A95" s="46"/>
      <c r="B95" s="46"/>
      <c r="C95" s="46"/>
      <c r="D95" s="46"/>
      <c r="E95" s="46"/>
      <c r="F95" s="46"/>
      <c r="G95" s="46"/>
      <c r="H95" s="46"/>
      <c r="K95" s="46"/>
    </row>
    <row r="96" spans="1:11" s="109" customFormat="1">
      <c r="A96" s="46"/>
      <c r="B96" s="46"/>
      <c r="C96" s="46"/>
      <c r="D96" s="46"/>
      <c r="E96" s="46"/>
      <c r="F96" s="46"/>
      <c r="G96" s="46"/>
      <c r="H96" s="46"/>
      <c r="K96" s="46"/>
    </row>
    <row r="97" spans="1:11" s="109" customFormat="1">
      <c r="A97" s="46"/>
      <c r="B97" s="46"/>
      <c r="C97" s="46"/>
      <c r="D97" s="46"/>
      <c r="E97" s="46"/>
      <c r="F97" s="46"/>
      <c r="G97" s="46"/>
      <c r="H97" s="46"/>
      <c r="K97" s="46"/>
    </row>
    <row r="98" spans="1:11" s="109" customFormat="1">
      <c r="A98" s="46"/>
      <c r="B98" s="46"/>
      <c r="C98" s="46"/>
      <c r="D98" s="46"/>
      <c r="E98" s="46"/>
      <c r="F98" s="46"/>
      <c r="G98" s="46"/>
      <c r="H98" s="46"/>
      <c r="K98" s="46"/>
    </row>
    <row r="99" spans="1:11" s="109" customFormat="1">
      <c r="A99" s="46"/>
      <c r="B99" s="46"/>
      <c r="C99" s="46"/>
      <c r="D99" s="46"/>
      <c r="E99" s="46"/>
      <c r="F99" s="46"/>
      <c r="G99" s="46"/>
      <c r="H99" s="46"/>
      <c r="K99" s="46"/>
    </row>
    <row r="100" spans="1:11" s="109" customFormat="1">
      <c r="A100" s="46"/>
      <c r="B100" s="46"/>
      <c r="C100" s="46"/>
      <c r="D100" s="46"/>
      <c r="E100" s="46"/>
      <c r="F100" s="46"/>
      <c r="G100" s="46"/>
      <c r="H100" s="46"/>
      <c r="K100" s="46"/>
    </row>
    <row r="101" spans="1:11" s="109" customFormat="1">
      <c r="A101" s="46"/>
      <c r="B101" s="46"/>
      <c r="C101" s="46"/>
      <c r="D101" s="46"/>
      <c r="E101" s="46"/>
      <c r="F101" s="46"/>
      <c r="G101" s="46"/>
      <c r="H101" s="46"/>
      <c r="K101" s="46"/>
    </row>
    <row r="102" spans="1:11" s="109" customFormat="1">
      <c r="A102" s="46"/>
      <c r="B102" s="46"/>
      <c r="C102" s="46"/>
      <c r="D102" s="46"/>
      <c r="E102" s="46"/>
      <c r="F102" s="46"/>
      <c r="G102" s="46"/>
      <c r="H102" s="46"/>
      <c r="K102" s="46"/>
    </row>
    <row r="103" spans="1:11" s="109" customFormat="1">
      <c r="A103" s="46"/>
      <c r="B103" s="46"/>
      <c r="C103" s="46"/>
      <c r="D103" s="46"/>
      <c r="E103" s="46"/>
      <c r="F103" s="46"/>
      <c r="G103" s="46"/>
      <c r="H103" s="46"/>
      <c r="K103" s="46"/>
    </row>
    <row r="104" spans="1:11" s="109" customFormat="1">
      <c r="A104" s="46"/>
      <c r="B104" s="46"/>
      <c r="C104" s="46"/>
      <c r="D104" s="46"/>
      <c r="E104" s="46"/>
      <c r="F104" s="46"/>
      <c r="G104" s="46"/>
      <c r="H104" s="46"/>
      <c r="K104" s="46"/>
    </row>
    <row r="105" spans="1:11" s="109" customFormat="1">
      <c r="A105" s="46"/>
      <c r="B105" s="46"/>
      <c r="C105" s="46"/>
      <c r="D105" s="46"/>
      <c r="E105" s="46"/>
      <c r="F105" s="46"/>
      <c r="G105" s="46"/>
      <c r="H105" s="46"/>
      <c r="K105" s="46"/>
    </row>
    <row r="106" spans="1:11" s="109" customFormat="1">
      <c r="A106" s="46"/>
      <c r="B106" s="46"/>
      <c r="C106" s="46"/>
      <c r="D106" s="46"/>
      <c r="E106" s="46"/>
      <c r="F106" s="46"/>
      <c r="G106" s="46"/>
      <c r="H106" s="46"/>
      <c r="K106" s="46"/>
    </row>
    <row r="107" spans="1:11" s="109" customFormat="1">
      <c r="A107" s="46"/>
      <c r="B107" s="46"/>
      <c r="C107" s="46"/>
      <c r="D107" s="46"/>
      <c r="E107" s="46"/>
      <c r="F107" s="46"/>
      <c r="G107" s="46"/>
      <c r="H107" s="46"/>
      <c r="K107" s="46"/>
    </row>
    <row r="108" spans="1:11" s="109" customFormat="1">
      <c r="A108" s="46"/>
      <c r="B108" s="46"/>
      <c r="C108" s="46"/>
      <c r="D108" s="46"/>
      <c r="E108" s="46"/>
      <c r="F108" s="46"/>
      <c r="G108" s="46"/>
      <c r="H108" s="46"/>
      <c r="K108" s="46"/>
    </row>
    <row r="109" spans="1:11" s="109" customFormat="1">
      <c r="A109" s="46"/>
      <c r="B109" s="46"/>
      <c r="C109" s="46"/>
      <c r="D109" s="46"/>
      <c r="E109" s="46"/>
      <c r="F109" s="46"/>
      <c r="G109" s="46"/>
      <c r="H109" s="46"/>
      <c r="K109" s="46"/>
    </row>
    <row r="110" spans="1:11" s="109" customFormat="1">
      <c r="A110" s="46"/>
      <c r="B110" s="46"/>
      <c r="C110" s="46"/>
      <c r="D110" s="46"/>
      <c r="E110" s="46"/>
      <c r="F110" s="46"/>
      <c r="G110" s="46"/>
      <c r="H110" s="46"/>
      <c r="K110" s="46"/>
    </row>
    <row r="111" spans="1:11" s="109" customFormat="1">
      <c r="A111" s="46"/>
      <c r="B111" s="46"/>
      <c r="C111" s="46"/>
      <c r="D111" s="46"/>
      <c r="E111" s="46"/>
      <c r="F111" s="46"/>
      <c r="G111" s="46"/>
      <c r="H111" s="46"/>
      <c r="K111" s="46"/>
    </row>
    <row r="112" spans="1:11" s="109" customFormat="1">
      <c r="A112" s="46"/>
      <c r="B112" s="46"/>
      <c r="C112" s="46"/>
      <c r="D112" s="46"/>
      <c r="E112" s="46"/>
      <c r="F112" s="46"/>
      <c r="G112" s="46"/>
      <c r="H112" s="46"/>
      <c r="K112" s="46"/>
    </row>
    <row r="113" spans="1:11" s="109" customFormat="1">
      <c r="A113" s="46"/>
      <c r="B113" s="46"/>
      <c r="C113" s="46"/>
      <c r="D113" s="46"/>
      <c r="E113" s="46"/>
      <c r="F113" s="46"/>
      <c r="G113" s="46"/>
      <c r="H113" s="46"/>
      <c r="K113" s="46"/>
    </row>
    <row r="114" spans="1:11" s="109" customFormat="1">
      <c r="A114" s="46"/>
      <c r="B114" s="46"/>
      <c r="C114" s="46"/>
      <c r="D114" s="46"/>
      <c r="E114" s="46"/>
      <c r="F114" s="46"/>
      <c r="G114" s="46"/>
      <c r="H114" s="46"/>
      <c r="K114" s="46"/>
    </row>
    <row r="115" spans="1:11" s="109" customFormat="1">
      <c r="A115" s="46"/>
      <c r="B115" s="46"/>
      <c r="C115" s="46"/>
      <c r="D115" s="46"/>
      <c r="E115" s="46"/>
      <c r="F115" s="46"/>
      <c r="G115" s="46"/>
      <c r="H115" s="46"/>
      <c r="K115" s="46"/>
    </row>
    <row r="116" spans="1:11" s="109" customFormat="1">
      <c r="A116" s="46"/>
      <c r="B116" s="46"/>
      <c r="C116" s="46"/>
      <c r="D116" s="46"/>
      <c r="E116" s="46"/>
      <c r="F116" s="46"/>
      <c r="G116" s="46"/>
      <c r="H116" s="46"/>
      <c r="K116" s="46"/>
    </row>
    <row r="117" spans="1:11" s="109" customFormat="1">
      <c r="A117" s="46"/>
      <c r="B117" s="46"/>
      <c r="C117" s="46"/>
      <c r="D117" s="46"/>
      <c r="E117" s="46"/>
      <c r="F117" s="46"/>
      <c r="G117" s="46"/>
      <c r="H117" s="46"/>
      <c r="K117" s="46"/>
    </row>
    <row r="118" spans="1:11" s="109" customFormat="1">
      <c r="A118" s="46"/>
      <c r="B118" s="46"/>
      <c r="C118" s="46"/>
      <c r="D118" s="46"/>
      <c r="E118" s="46"/>
      <c r="F118" s="46"/>
      <c r="G118" s="46"/>
      <c r="H118" s="46"/>
      <c r="K118" s="46"/>
    </row>
    <row r="119" spans="1:11" s="109" customFormat="1">
      <c r="A119" s="46"/>
      <c r="B119" s="46"/>
      <c r="C119" s="46"/>
      <c r="D119" s="46"/>
      <c r="E119" s="46"/>
      <c r="F119" s="46"/>
      <c r="G119" s="46"/>
      <c r="H119" s="46"/>
      <c r="K119" s="46"/>
    </row>
    <row r="120" spans="1:11" s="109" customFormat="1">
      <c r="A120" s="46"/>
      <c r="B120" s="46"/>
      <c r="C120" s="46"/>
      <c r="D120" s="46"/>
      <c r="E120" s="46"/>
      <c r="F120" s="46"/>
      <c r="G120" s="46"/>
      <c r="H120" s="46"/>
      <c r="K120" s="46"/>
    </row>
    <row r="121" spans="1:11" s="109" customFormat="1">
      <c r="A121" s="46"/>
      <c r="B121" s="46"/>
      <c r="C121" s="46"/>
      <c r="D121" s="46"/>
      <c r="E121" s="46"/>
      <c r="F121" s="46"/>
      <c r="G121" s="46"/>
      <c r="H121" s="46"/>
      <c r="K121" s="46"/>
    </row>
    <row r="122" spans="1:11" s="109" customFormat="1">
      <c r="A122" s="46"/>
      <c r="B122" s="46"/>
      <c r="C122" s="46"/>
      <c r="D122" s="46"/>
      <c r="E122" s="46"/>
      <c r="F122" s="46"/>
      <c r="G122" s="46"/>
      <c r="H122" s="46"/>
      <c r="K122" s="46"/>
    </row>
    <row r="123" spans="1:11" s="109" customFormat="1">
      <c r="A123" s="46"/>
      <c r="B123" s="46"/>
      <c r="C123" s="46"/>
      <c r="D123" s="46"/>
      <c r="E123" s="46"/>
      <c r="F123" s="46"/>
      <c r="G123" s="46"/>
      <c r="H123" s="46"/>
      <c r="K123" s="46"/>
    </row>
    <row r="124" spans="1:11" s="109" customFormat="1">
      <c r="A124" s="46"/>
      <c r="B124" s="46"/>
      <c r="C124" s="46"/>
      <c r="D124" s="46"/>
      <c r="E124" s="46"/>
      <c r="F124" s="46"/>
      <c r="G124" s="46"/>
      <c r="H124" s="46"/>
      <c r="K124" s="46"/>
    </row>
    <row r="125" spans="1:11" s="109" customFormat="1">
      <c r="A125" s="46"/>
      <c r="B125" s="46"/>
      <c r="C125" s="46"/>
      <c r="D125" s="46"/>
      <c r="E125" s="46"/>
      <c r="F125" s="46"/>
      <c r="G125" s="46"/>
      <c r="H125" s="46"/>
      <c r="K125" s="46"/>
    </row>
    <row r="126" spans="1:11" s="109" customFormat="1">
      <c r="A126" s="46"/>
      <c r="B126" s="46"/>
      <c r="C126" s="46"/>
      <c r="D126" s="46"/>
      <c r="E126" s="46"/>
      <c r="F126" s="46"/>
      <c r="G126" s="46"/>
      <c r="H126" s="46"/>
      <c r="K126" s="46"/>
    </row>
    <row r="127" spans="1:11" s="109" customFormat="1">
      <c r="A127" s="46"/>
      <c r="B127" s="46"/>
      <c r="C127" s="46"/>
      <c r="D127" s="46"/>
      <c r="E127" s="46"/>
      <c r="F127" s="46"/>
      <c r="G127" s="46"/>
      <c r="H127" s="46"/>
      <c r="K127" s="46"/>
    </row>
    <row r="128" spans="1:11" s="109" customFormat="1">
      <c r="A128" s="46"/>
      <c r="B128" s="46"/>
      <c r="C128" s="46"/>
      <c r="D128" s="46"/>
      <c r="E128" s="46"/>
      <c r="F128" s="46"/>
      <c r="G128" s="46"/>
      <c r="H128" s="46"/>
      <c r="K128" s="46"/>
    </row>
    <row r="129" spans="1:11" s="109" customFormat="1">
      <c r="A129" s="46"/>
      <c r="B129" s="46"/>
      <c r="C129" s="46"/>
      <c r="D129" s="46"/>
      <c r="E129" s="46"/>
      <c r="F129" s="46"/>
      <c r="G129" s="46"/>
      <c r="H129" s="46"/>
      <c r="K129" s="46"/>
    </row>
    <row r="130" spans="1:11" s="109" customFormat="1">
      <c r="A130" s="46"/>
      <c r="B130" s="46"/>
      <c r="C130" s="46"/>
      <c r="D130" s="46"/>
      <c r="E130" s="46"/>
      <c r="F130" s="46"/>
      <c r="G130" s="46"/>
      <c r="H130" s="46"/>
      <c r="K130" s="46"/>
    </row>
    <row r="131" spans="1:11" s="109" customFormat="1">
      <c r="A131" s="46"/>
      <c r="B131" s="46"/>
      <c r="C131" s="46"/>
      <c r="D131" s="46"/>
      <c r="E131" s="46"/>
      <c r="F131" s="46"/>
      <c r="G131" s="46"/>
      <c r="H131" s="46"/>
      <c r="K131" s="46"/>
    </row>
    <row r="132" spans="1:11" s="109" customFormat="1">
      <c r="A132" s="46"/>
      <c r="B132" s="46"/>
      <c r="C132" s="46"/>
      <c r="D132" s="46"/>
      <c r="E132" s="46"/>
      <c r="F132" s="46"/>
      <c r="G132" s="46"/>
      <c r="H132" s="46"/>
      <c r="K132" s="46"/>
    </row>
    <row r="133" spans="1:11" s="109" customFormat="1">
      <c r="A133" s="46"/>
      <c r="B133" s="46"/>
      <c r="C133" s="46"/>
      <c r="D133" s="46"/>
      <c r="E133" s="46"/>
      <c r="F133" s="46"/>
      <c r="G133" s="46"/>
      <c r="H133" s="46"/>
      <c r="K133" s="46"/>
    </row>
    <row r="134" spans="1:11" s="109" customFormat="1">
      <c r="A134" s="46"/>
      <c r="B134" s="46"/>
      <c r="C134" s="46"/>
      <c r="D134" s="46"/>
      <c r="E134" s="46"/>
      <c r="F134" s="46"/>
      <c r="G134" s="46"/>
      <c r="H134" s="46"/>
      <c r="K134" s="46"/>
    </row>
    <row r="135" spans="1:11" s="109" customFormat="1">
      <c r="A135" s="46"/>
      <c r="B135" s="46"/>
      <c r="C135" s="46"/>
      <c r="D135" s="46"/>
      <c r="E135" s="46"/>
      <c r="F135" s="46"/>
      <c r="G135" s="46"/>
      <c r="H135" s="46"/>
      <c r="K135" s="46"/>
    </row>
    <row r="136" spans="1:11" s="109" customFormat="1">
      <c r="A136" s="46"/>
      <c r="B136" s="46"/>
      <c r="C136" s="46"/>
      <c r="D136" s="46"/>
      <c r="E136" s="46"/>
      <c r="F136" s="46"/>
      <c r="G136" s="46"/>
      <c r="H136" s="46"/>
      <c r="K136" s="46"/>
    </row>
    <row r="137" spans="1:11" s="109" customFormat="1">
      <c r="A137" s="46"/>
      <c r="B137" s="46"/>
      <c r="C137" s="46"/>
      <c r="D137" s="46"/>
      <c r="E137" s="46"/>
      <c r="F137" s="46"/>
      <c r="G137" s="46"/>
      <c r="H137" s="46"/>
      <c r="K137" s="46"/>
    </row>
    <row r="138" spans="1:11" s="109" customFormat="1">
      <c r="A138" s="46"/>
      <c r="B138" s="46"/>
      <c r="C138" s="46"/>
      <c r="D138" s="46"/>
      <c r="E138" s="46"/>
      <c r="F138" s="46"/>
      <c r="G138" s="46"/>
      <c r="H138" s="46"/>
      <c r="K138" s="46"/>
    </row>
    <row r="139" spans="1:11" s="109" customFormat="1">
      <c r="A139" s="46"/>
      <c r="B139" s="46"/>
      <c r="C139" s="46"/>
      <c r="D139" s="46"/>
      <c r="E139" s="46"/>
      <c r="F139" s="46"/>
      <c r="G139" s="46"/>
      <c r="H139" s="46"/>
      <c r="K139" s="46"/>
    </row>
    <row r="140" spans="1:11" s="109" customFormat="1">
      <c r="A140" s="46"/>
      <c r="B140" s="46"/>
      <c r="C140" s="46"/>
      <c r="D140" s="46"/>
      <c r="E140" s="46"/>
      <c r="F140" s="46"/>
      <c r="G140" s="46"/>
      <c r="H140" s="46"/>
      <c r="K140" s="46"/>
    </row>
    <row r="141" spans="1:11" s="109" customFormat="1">
      <c r="A141" s="46"/>
      <c r="B141" s="46"/>
      <c r="C141" s="46"/>
      <c r="D141" s="46"/>
      <c r="E141" s="46"/>
      <c r="F141" s="46"/>
      <c r="G141" s="46"/>
      <c r="H141" s="46"/>
      <c r="K141" s="46"/>
    </row>
    <row r="142" spans="1:11" s="109" customFormat="1">
      <c r="A142" s="46"/>
      <c r="B142" s="46"/>
      <c r="C142" s="46"/>
      <c r="D142" s="46"/>
      <c r="E142" s="46"/>
      <c r="F142" s="46"/>
      <c r="G142" s="46"/>
      <c r="H142" s="46"/>
      <c r="K142" s="46"/>
    </row>
    <row r="143" spans="1:11" s="109" customFormat="1">
      <c r="A143" s="46"/>
      <c r="B143" s="46"/>
      <c r="C143" s="46"/>
      <c r="D143" s="46"/>
      <c r="E143" s="46"/>
      <c r="F143" s="46"/>
      <c r="G143" s="46"/>
      <c r="H143" s="46"/>
      <c r="K143" s="46"/>
    </row>
    <row r="144" spans="1:11" s="109" customFormat="1">
      <c r="A144" s="46"/>
      <c r="B144" s="46"/>
      <c r="C144" s="46"/>
      <c r="D144" s="46"/>
      <c r="E144" s="46"/>
      <c r="F144" s="46"/>
      <c r="G144" s="46"/>
      <c r="H144" s="46"/>
      <c r="K144" s="46"/>
    </row>
    <row r="145" spans="1:11" s="109" customFormat="1">
      <c r="A145" s="46"/>
      <c r="B145" s="46"/>
      <c r="C145" s="46"/>
      <c r="D145" s="46"/>
      <c r="E145" s="46"/>
      <c r="F145" s="46"/>
      <c r="G145" s="46"/>
      <c r="H145" s="46"/>
      <c r="K145" s="46"/>
    </row>
    <row r="146" spans="1:11" s="109" customFormat="1">
      <c r="A146" s="46"/>
      <c r="B146" s="46"/>
      <c r="C146" s="46"/>
      <c r="D146" s="46"/>
      <c r="E146" s="46"/>
      <c r="F146" s="46"/>
      <c r="G146" s="46"/>
      <c r="H146" s="46"/>
      <c r="K146" s="46"/>
    </row>
    <row r="147" spans="1:11" s="109" customFormat="1">
      <c r="A147" s="46"/>
      <c r="B147" s="46"/>
      <c r="C147" s="46"/>
      <c r="D147" s="46"/>
      <c r="E147" s="46"/>
      <c r="F147" s="46"/>
      <c r="G147" s="46"/>
      <c r="H147" s="46"/>
      <c r="K147" s="46"/>
    </row>
    <row r="148" spans="1:11" s="109" customFormat="1">
      <c r="A148" s="46"/>
      <c r="B148" s="46"/>
      <c r="C148" s="46"/>
      <c r="D148" s="46"/>
      <c r="E148" s="46"/>
      <c r="F148" s="46"/>
      <c r="G148" s="46"/>
      <c r="H148" s="46"/>
      <c r="K148" s="46"/>
    </row>
    <row r="149" spans="1:11" s="109" customFormat="1">
      <c r="A149" s="46"/>
      <c r="B149" s="46"/>
      <c r="C149" s="46"/>
      <c r="D149" s="46"/>
      <c r="E149" s="46"/>
      <c r="F149" s="46"/>
      <c r="G149" s="46"/>
      <c r="H149" s="46"/>
      <c r="K149" s="46"/>
    </row>
    <row r="150" spans="1:11" s="109" customFormat="1">
      <c r="A150" s="46"/>
      <c r="B150" s="46"/>
      <c r="C150" s="46"/>
      <c r="D150" s="46"/>
      <c r="E150" s="46"/>
      <c r="F150" s="46"/>
      <c r="G150" s="46"/>
      <c r="H150" s="46"/>
      <c r="K150" s="46"/>
    </row>
    <row r="151" spans="1:11" s="109" customFormat="1">
      <c r="A151" s="46"/>
      <c r="B151" s="46"/>
      <c r="C151" s="46"/>
      <c r="D151" s="46"/>
      <c r="E151" s="46"/>
      <c r="F151" s="46"/>
      <c r="G151" s="46"/>
      <c r="H151" s="46"/>
      <c r="K151" s="46"/>
    </row>
    <row r="152" spans="1:11" s="109" customFormat="1">
      <c r="A152" s="46"/>
      <c r="B152" s="46"/>
      <c r="C152" s="46"/>
      <c r="D152" s="46"/>
      <c r="E152" s="46"/>
      <c r="F152" s="46"/>
      <c r="G152" s="46"/>
      <c r="H152" s="46"/>
      <c r="K152" s="46"/>
    </row>
    <row r="153" spans="1:11" s="109" customFormat="1">
      <c r="A153" s="46"/>
      <c r="B153" s="46"/>
      <c r="C153" s="46"/>
      <c r="D153" s="46"/>
      <c r="E153" s="46"/>
      <c r="F153" s="46"/>
      <c r="G153" s="46"/>
      <c r="H153" s="46"/>
      <c r="K153" s="46"/>
    </row>
    <row r="154" spans="1:11" s="109" customFormat="1">
      <c r="A154" s="46"/>
      <c r="B154" s="46"/>
      <c r="C154" s="46"/>
      <c r="D154" s="46"/>
      <c r="E154" s="46"/>
      <c r="F154" s="46"/>
      <c r="G154" s="46"/>
      <c r="H154" s="46"/>
      <c r="K154" s="46"/>
    </row>
    <row r="155" spans="1:11" s="109" customFormat="1">
      <c r="A155" s="46"/>
      <c r="B155" s="46"/>
      <c r="C155" s="46"/>
      <c r="D155" s="46"/>
      <c r="E155" s="46"/>
      <c r="F155" s="46"/>
      <c r="G155" s="46"/>
      <c r="H155" s="46"/>
      <c r="K155" s="46"/>
    </row>
    <row r="156" spans="1:11" s="109" customFormat="1">
      <c r="A156" s="46"/>
      <c r="B156" s="46"/>
      <c r="C156" s="46"/>
      <c r="D156" s="46"/>
      <c r="E156" s="46"/>
      <c r="F156" s="46"/>
      <c r="G156" s="46"/>
      <c r="H156" s="46"/>
      <c r="K156" s="46"/>
    </row>
    <row r="157" spans="1:11" s="109" customFormat="1">
      <c r="A157" s="46"/>
      <c r="B157" s="46"/>
      <c r="C157" s="46"/>
      <c r="D157" s="46"/>
      <c r="E157" s="46"/>
      <c r="F157" s="46"/>
      <c r="G157" s="46"/>
      <c r="H157" s="46"/>
      <c r="K157" s="46"/>
    </row>
    <row r="158" spans="1:11" s="109" customFormat="1">
      <c r="A158" s="46"/>
      <c r="B158" s="46"/>
      <c r="C158" s="46"/>
      <c r="D158" s="46"/>
      <c r="E158" s="46"/>
      <c r="F158" s="46"/>
      <c r="G158" s="46"/>
      <c r="H158" s="46"/>
      <c r="K158" s="46"/>
    </row>
    <row r="159" spans="1:11" s="109" customFormat="1">
      <c r="A159" s="46"/>
      <c r="B159" s="46"/>
      <c r="C159" s="46"/>
      <c r="D159" s="46"/>
      <c r="E159" s="46"/>
      <c r="F159" s="46"/>
      <c r="G159" s="46"/>
      <c r="H159" s="46"/>
      <c r="K159" s="46"/>
    </row>
    <row r="160" spans="1:11" s="109" customFormat="1">
      <c r="A160" s="46"/>
      <c r="B160" s="46"/>
      <c r="C160" s="46"/>
      <c r="D160" s="46"/>
      <c r="E160" s="46"/>
      <c r="F160" s="46"/>
      <c r="G160" s="46"/>
      <c r="H160" s="46"/>
      <c r="K160" s="46"/>
    </row>
    <row r="161" spans="1:11" s="109" customFormat="1">
      <c r="A161" s="46"/>
      <c r="B161" s="46"/>
      <c r="C161" s="46"/>
      <c r="D161" s="46"/>
      <c r="E161" s="46"/>
      <c r="F161" s="46"/>
      <c r="G161" s="46"/>
      <c r="H161" s="46"/>
      <c r="K161" s="46"/>
    </row>
    <row r="162" spans="1:11" s="109" customFormat="1">
      <c r="A162" s="46"/>
      <c r="B162" s="46"/>
      <c r="C162" s="46"/>
      <c r="D162" s="46"/>
      <c r="E162" s="46"/>
      <c r="F162" s="46"/>
      <c r="G162" s="46"/>
      <c r="H162" s="46"/>
      <c r="K162" s="46"/>
    </row>
    <row r="163" spans="1:11" s="109" customFormat="1">
      <c r="A163" s="46"/>
      <c r="B163" s="46"/>
      <c r="C163" s="46"/>
      <c r="D163" s="46"/>
      <c r="E163" s="46"/>
      <c r="F163" s="46"/>
      <c r="G163" s="46"/>
      <c r="H163" s="46"/>
      <c r="K163" s="46"/>
    </row>
    <row r="164" spans="1:11" s="109" customFormat="1">
      <c r="A164" s="46"/>
      <c r="B164" s="46"/>
      <c r="C164" s="46"/>
      <c r="D164" s="46"/>
      <c r="E164" s="46"/>
      <c r="F164" s="46"/>
      <c r="G164" s="46"/>
      <c r="H164" s="46"/>
      <c r="K164" s="46"/>
    </row>
    <row r="165" spans="1:11" s="109" customFormat="1">
      <c r="A165" s="46"/>
      <c r="B165" s="46"/>
      <c r="C165" s="46"/>
      <c r="D165" s="46"/>
      <c r="E165" s="46"/>
      <c r="F165" s="46"/>
      <c r="G165" s="46"/>
      <c r="H165" s="46"/>
      <c r="K165" s="46"/>
    </row>
    <row r="166" spans="1:11" s="109" customFormat="1">
      <c r="A166" s="46"/>
      <c r="B166" s="46"/>
      <c r="C166" s="46"/>
      <c r="D166" s="46"/>
      <c r="E166" s="46"/>
      <c r="F166" s="46"/>
      <c r="G166" s="46"/>
      <c r="H166" s="46"/>
      <c r="K166" s="46"/>
    </row>
    <row r="167" spans="1:11" s="109" customFormat="1">
      <c r="A167" s="46"/>
      <c r="B167" s="46"/>
      <c r="C167" s="46"/>
      <c r="D167" s="46"/>
      <c r="E167" s="46"/>
      <c r="F167" s="46"/>
      <c r="G167" s="46"/>
      <c r="H167" s="46"/>
      <c r="K167" s="46"/>
    </row>
    <row r="168" spans="1:11" s="109" customFormat="1">
      <c r="A168" s="46"/>
      <c r="B168" s="46"/>
      <c r="C168" s="46"/>
      <c r="D168" s="46"/>
      <c r="E168" s="46"/>
      <c r="F168" s="46"/>
      <c r="G168" s="46"/>
      <c r="H168" s="46"/>
      <c r="K168" s="46"/>
    </row>
    <row r="169" spans="1:11" s="109" customFormat="1">
      <c r="A169" s="46"/>
      <c r="B169" s="46"/>
      <c r="C169" s="46"/>
      <c r="D169" s="46"/>
      <c r="E169" s="46"/>
      <c r="F169" s="46"/>
      <c r="G169" s="46"/>
      <c r="H169" s="46"/>
      <c r="K169" s="46"/>
    </row>
    <row r="170" spans="1:11" s="109" customFormat="1">
      <c r="A170" s="46"/>
      <c r="B170" s="46"/>
      <c r="C170" s="46"/>
      <c r="D170" s="46"/>
      <c r="E170" s="46"/>
      <c r="F170" s="46"/>
      <c r="G170" s="46"/>
      <c r="H170" s="46"/>
      <c r="K170" s="46"/>
    </row>
    <row r="171" spans="1:11" s="109" customFormat="1">
      <c r="A171" s="46"/>
      <c r="B171" s="46"/>
      <c r="C171" s="46"/>
      <c r="D171" s="46"/>
      <c r="E171" s="46"/>
      <c r="F171" s="46"/>
      <c r="G171" s="46"/>
      <c r="H171" s="46"/>
      <c r="K171" s="46"/>
    </row>
    <row r="172" spans="1:11" s="109" customFormat="1">
      <c r="A172" s="46"/>
      <c r="B172" s="46"/>
      <c r="C172" s="46"/>
      <c r="D172" s="46"/>
      <c r="E172" s="46"/>
      <c r="F172" s="46"/>
      <c r="G172" s="46"/>
      <c r="H172" s="46"/>
      <c r="K172" s="46"/>
    </row>
    <row r="173" spans="1:11" s="109" customFormat="1">
      <c r="A173" s="46"/>
      <c r="B173" s="46"/>
      <c r="C173" s="46"/>
      <c r="D173" s="46"/>
      <c r="E173" s="46"/>
      <c r="F173" s="46"/>
      <c r="G173" s="46"/>
      <c r="H173" s="46"/>
      <c r="K173" s="46"/>
    </row>
    <row r="174" spans="1:11" s="109" customFormat="1">
      <c r="A174" s="46"/>
      <c r="B174" s="46"/>
      <c r="C174" s="46"/>
      <c r="D174" s="46"/>
      <c r="E174" s="46"/>
      <c r="F174" s="46"/>
      <c r="G174" s="46"/>
      <c r="H174" s="46"/>
      <c r="K174" s="46"/>
    </row>
    <row r="175" spans="1:11" s="109" customFormat="1">
      <c r="A175" s="46"/>
      <c r="B175" s="46"/>
      <c r="C175" s="46"/>
      <c r="D175" s="46"/>
      <c r="E175" s="46"/>
      <c r="F175" s="46"/>
      <c r="G175" s="46"/>
      <c r="H175" s="46"/>
      <c r="K175" s="46"/>
    </row>
    <row r="176" spans="1:11" s="109" customFormat="1">
      <c r="A176" s="46"/>
      <c r="B176" s="46"/>
      <c r="C176" s="46"/>
      <c r="D176" s="46"/>
      <c r="E176" s="46"/>
      <c r="F176" s="46"/>
      <c r="G176" s="46"/>
      <c r="H176" s="46"/>
      <c r="K176" s="46"/>
    </row>
    <row r="177" spans="1:11" s="109" customFormat="1">
      <c r="A177" s="46"/>
      <c r="B177" s="46"/>
      <c r="C177" s="46"/>
      <c r="D177" s="46"/>
      <c r="E177" s="46"/>
      <c r="F177" s="46"/>
      <c r="G177" s="46"/>
      <c r="H177" s="46"/>
      <c r="K177" s="46"/>
    </row>
    <row r="178" spans="1:11" s="109" customFormat="1">
      <c r="A178" s="46"/>
      <c r="B178" s="46"/>
      <c r="C178" s="46"/>
      <c r="D178" s="46"/>
      <c r="E178" s="46"/>
      <c r="F178" s="46"/>
      <c r="G178" s="46"/>
      <c r="H178" s="46"/>
      <c r="K178" s="46"/>
    </row>
    <row r="179" spans="1:11" s="109" customFormat="1">
      <c r="A179" s="46"/>
      <c r="B179" s="46"/>
      <c r="C179" s="46"/>
      <c r="D179" s="46"/>
      <c r="E179" s="46"/>
      <c r="F179" s="46"/>
      <c r="G179" s="46"/>
      <c r="H179" s="46"/>
      <c r="K179" s="46"/>
    </row>
    <row r="180" spans="1:11" s="109" customFormat="1">
      <c r="A180" s="46"/>
      <c r="B180" s="46"/>
      <c r="C180" s="46"/>
      <c r="D180" s="46"/>
      <c r="E180" s="46"/>
      <c r="F180" s="46"/>
      <c r="G180" s="46"/>
      <c r="H180" s="46"/>
      <c r="K180" s="46"/>
    </row>
    <row r="181" spans="1:11" s="109" customFormat="1">
      <c r="A181" s="46"/>
      <c r="B181" s="46"/>
      <c r="C181" s="46"/>
      <c r="D181" s="46"/>
      <c r="E181" s="46"/>
      <c r="F181" s="46"/>
      <c r="G181" s="46"/>
      <c r="H181" s="46"/>
      <c r="K181" s="46"/>
    </row>
    <row r="182" spans="1:11" s="109" customFormat="1">
      <c r="A182" s="46"/>
      <c r="B182" s="46"/>
      <c r="C182" s="46"/>
      <c r="D182" s="46"/>
      <c r="E182" s="46"/>
      <c r="F182" s="46"/>
      <c r="G182" s="46"/>
      <c r="H182" s="46"/>
      <c r="K182" s="46"/>
    </row>
    <row r="183" spans="1:11" s="109" customFormat="1">
      <c r="A183" s="46"/>
      <c r="B183" s="46"/>
      <c r="C183" s="46"/>
      <c r="D183" s="46"/>
      <c r="E183" s="46"/>
      <c r="F183" s="46"/>
      <c r="G183" s="46"/>
      <c r="H183" s="46"/>
      <c r="K183" s="46"/>
    </row>
    <row r="184" spans="1:11" s="109" customFormat="1">
      <c r="A184" s="46"/>
      <c r="B184" s="46"/>
      <c r="C184" s="46"/>
      <c r="D184" s="46"/>
      <c r="E184" s="46"/>
      <c r="F184" s="46"/>
      <c r="G184" s="46"/>
      <c r="H184" s="46"/>
      <c r="K184" s="46"/>
    </row>
    <row r="185" spans="1:11" s="109" customFormat="1">
      <c r="A185" s="46"/>
      <c r="B185" s="46"/>
      <c r="C185" s="46"/>
      <c r="D185" s="46"/>
      <c r="E185" s="46"/>
      <c r="F185" s="46"/>
      <c r="G185" s="46"/>
      <c r="H185" s="46"/>
      <c r="K185" s="46"/>
    </row>
    <row r="186" spans="1:11" s="109" customFormat="1">
      <c r="A186" s="46"/>
      <c r="B186" s="46"/>
      <c r="C186" s="46"/>
      <c r="D186" s="46"/>
      <c r="E186" s="46"/>
      <c r="F186" s="46"/>
      <c r="G186" s="46"/>
      <c r="H186" s="46"/>
      <c r="K186" s="46"/>
    </row>
    <row r="187" spans="1:11" s="109" customFormat="1">
      <c r="A187" s="46"/>
      <c r="B187" s="46"/>
      <c r="C187" s="46"/>
      <c r="D187" s="46"/>
      <c r="E187" s="46"/>
      <c r="F187" s="46"/>
      <c r="G187" s="46"/>
      <c r="H187" s="46"/>
      <c r="K187" s="46"/>
    </row>
    <row r="188" spans="1:11" s="109" customFormat="1">
      <c r="A188" s="46"/>
      <c r="B188" s="46"/>
      <c r="C188" s="46"/>
      <c r="D188" s="46"/>
      <c r="E188" s="46"/>
      <c r="F188" s="46"/>
      <c r="G188" s="46"/>
      <c r="H188" s="46"/>
      <c r="K188" s="46"/>
    </row>
    <row r="189" spans="1:11" s="109" customFormat="1">
      <c r="A189" s="46"/>
      <c r="B189" s="46"/>
      <c r="C189" s="46"/>
      <c r="D189" s="46"/>
      <c r="E189" s="46"/>
      <c r="F189" s="46"/>
      <c r="G189" s="46"/>
      <c r="H189" s="46"/>
      <c r="K189" s="46"/>
    </row>
    <row r="190" spans="1:11" s="109" customFormat="1">
      <c r="A190" s="46"/>
      <c r="B190" s="46"/>
      <c r="C190" s="46"/>
      <c r="D190" s="46"/>
      <c r="E190" s="46"/>
      <c r="F190" s="46"/>
      <c r="G190" s="46"/>
      <c r="H190" s="46"/>
      <c r="K190" s="46"/>
    </row>
    <row r="191" spans="1:11" s="109" customFormat="1">
      <c r="A191" s="46"/>
      <c r="B191" s="46"/>
      <c r="C191" s="46"/>
      <c r="D191" s="46"/>
      <c r="E191" s="46"/>
      <c r="F191" s="46"/>
      <c r="G191" s="46"/>
      <c r="H191" s="46"/>
      <c r="K191" s="46"/>
    </row>
    <row r="192" spans="1:11" s="109" customFormat="1">
      <c r="A192" s="46"/>
      <c r="B192" s="46"/>
      <c r="C192" s="46"/>
      <c r="D192" s="46"/>
      <c r="E192" s="46"/>
      <c r="F192" s="46"/>
      <c r="G192" s="46"/>
      <c r="H192" s="46"/>
      <c r="K192" s="46"/>
    </row>
    <row r="193" spans="1:11" s="109" customFormat="1">
      <c r="A193" s="46"/>
      <c r="B193" s="46"/>
      <c r="C193" s="46"/>
      <c r="D193" s="46"/>
      <c r="E193" s="46"/>
      <c r="F193" s="46"/>
      <c r="G193" s="46"/>
      <c r="H193" s="46"/>
      <c r="K193" s="46"/>
    </row>
    <row r="194" spans="1:11" s="109" customFormat="1">
      <c r="A194" s="46"/>
      <c r="B194" s="46"/>
      <c r="C194" s="46"/>
      <c r="D194" s="46"/>
      <c r="E194" s="46"/>
      <c r="F194" s="46"/>
      <c r="G194" s="46"/>
      <c r="H194" s="46"/>
      <c r="K194" s="46"/>
    </row>
    <row r="195" spans="1:11" s="109" customFormat="1">
      <c r="A195" s="46"/>
      <c r="B195" s="46"/>
      <c r="C195" s="46"/>
      <c r="D195" s="46"/>
      <c r="E195" s="46"/>
      <c r="F195" s="46"/>
      <c r="G195" s="46"/>
      <c r="H195" s="46"/>
      <c r="K195" s="46"/>
    </row>
    <row r="196" spans="1:11" s="109" customFormat="1">
      <c r="A196" s="46"/>
      <c r="B196" s="46"/>
      <c r="C196" s="46"/>
      <c r="D196" s="46"/>
      <c r="E196" s="46"/>
      <c r="F196" s="46"/>
      <c r="G196" s="46"/>
      <c r="H196" s="46"/>
      <c r="K196" s="46"/>
    </row>
    <row r="197" spans="1:11" s="109" customFormat="1">
      <c r="A197" s="46"/>
      <c r="B197" s="46"/>
      <c r="C197" s="46"/>
      <c r="D197" s="46"/>
      <c r="E197" s="46"/>
      <c r="F197" s="46"/>
      <c r="G197" s="46"/>
      <c r="H197" s="46"/>
      <c r="K197" s="46"/>
    </row>
    <row r="198" spans="1:11" s="109" customFormat="1">
      <c r="A198" s="46"/>
      <c r="B198" s="46"/>
      <c r="C198" s="46"/>
      <c r="D198" s="46"/>
      <c r="E198" s="46"/>
      <c r="F198" s="46"/>
      <c r="G198" s="46"/>
      <c r="H198" s="46"/>
      <c r="K198" s="46"/>
    </row>
    <row r="199" spans="1:11" s="109" customFormat="1">
      <c r="A199" s="46"/>
      <c r="B199" s="46"/>
      <c r="C199" s="46"/>
      <c r="D199" s="46"/>
      <c r="E199" s="46"/>
      <c r="F199" s="46"/>
      <c r="G199" s="46"/>
      <c r="H199" s="46"/>
      <c r="K199" s="46"/>
    </row>
    <row r="200" spans="1:11" s="109" customFormat="1">
      <c r="A200" s="46"/>
      <c r="B200" s="46"/>
      <c r="C200" s="46"/>
      <c r="D200" s="46"/>
      <c r="E200" s="46"/>
      <c r="F200" s="46"/>
      <c r="G200" s="46"/>
      <c r="H200" s="46"/>
      <c r="K200" s="46"/>
    </row>
    <row r="201" spans="1:11" s="109" customFormat="1">
      <c r="A201" s="46"/>
      <c r="B201" s="46"/>
      <c r="C201" s="46"/>
      <c r="D201" s="46"/>
      <c r="E201" s="46"/>
      <c r="F201" s="46"/>
      <c r="G201" s="46"/>
      <c r="H201" s="46"/>
      <c r="K201" s="46"/>
    </row>
    <row r="202" spans="1:11" s="109" customFormat="1">
      <c r="A202" s="46"/>
      <c r="B202" s="46"/>
      <c r="C202" s="46"/>
      <c r="D202" s="46"/>
      <c r="E202" s="46"/>
      <c r="F202" s="46"/>
      <c r="G202" s="46"/>
      <c r="H202" s="46"/>
      <c r="K202" s="46"/>
    </row>
    <row r="203" spans="1:11" s="109" customFormat="1">
      <c r="A203" s="46"/>
      <c r="B203" s="46"/>
      <c r="C203" s="46"/>
      <c r="D203" s="46"/>
      <c r="E203" s="46"/>
      <c r="F203" s="46"/>
      <c r="G203" s="46"/>
      <c r="H203" s="46"/>
      <c r="K203" s="46"/>
    </row>
    <row r="204" spans="1:11" s="109" customFormat="1">
      <c r="A204" s="46"/>
      <c r="B204" s="46"/>
      <c r="C204" s="46"/>
      <c r="D204" s="46"/>
      <c r="E204" s="46"/>
      <c r="F204" s="46"/>
      <c r="G204" s="46"/>
      <c r="H204" s="46"/>
      <c r="K204" s="46"/>
    </row>
    <row r="205" spans="1:11" s="109" customFormat="1">
      <c r="A205" s="46"/>
      <c r="B205" s="46"/>
      <c r="C205" s="46"/>
      <c r="D205" s="46"/>
      <c r="E205" s="46"/>
      <c r="F205" s="46"/>
      <c r="G205" s="46"/>
      <c r="H205" s="46"/>
      <c r="K205" s="46"/>
    </row>
    <row r="206" spans="1:11" s="109" customFormat="1">
      <c r="A206" s="46"/>
      <c r="B206" s="46"/>
      <c r="C206" s="46"/>
      <c r="D206" s="46"/>
      <c r="E206" s="46"/>
      <c r="F206" s="46"/>
      <c r="G206" s="46"/>
      <c r="H206" s="46"/>
      <c r="K206" s="46"/>
    </row>
    <row r="207" spans="1:11" s="109" customFormat="1">
      <c r="A207" s="46"/>
      <c r="B207" s="46"/>
      <c r="C207" s="46"/>
      <c r="D207" s="46"/>
      <c r="E207" s="46"/>
      <c r="F207" s="46"/>
      <c r="G207" s="46"/>
      <c r="H207" s="46"/>
      <c r="K207" s="46"/>
    </row>
    <row r="208" spans="1:11" s="109" customFormat="1">
      <c r="A208" s="46"/>
      <c r="B208" s="46"/>
      <c r="C208" s="46"/>
      <c r="D208" s="46"/>
      <c r="E208" s="46"/>
      <c r="F208" s="46"/>
      <c r="G208" s="46"/>
      <c r="H208" s="46"/>
      <c r="K208" s="46"/>
    </row>
    <row r="209" spans="1:11" s="109" customFormat="1">
      <c r="A209" s="46"/>
      <c r="B209" s="46"/>
      <c r="C209" s="46"/>
      <c r="D209" s="46"/>
      <c r="E209" s="46"/>
      <c r="F209" s="46"/>
      <c r="G209" s="46"/>
      <c r="H209" s="46"/>
      <c r="K209" s="46"/>
    </row>
    <row r="210" spans="1:11" s="109" customFormat="1">
      <c r="A210" s="46"/>
      <c r="B210" s="46"/>
      <c r="C210" s="46"/>
      <c r="D210" s="46"/>
      <c r="E210" s="46"/>
      <c r="F210" s="46"/>
      <c r="G210" s="46"/>
      <c r="H210" s="46"/>
      <c r="K210" s="46"/>
    </row>
    <row r="211" spans="1:11" s="109" customFormat="1">
      <c r="A211" s="46"/>
      <c r="B211" s="46"/>
      <c r="C211" s="46"/>
      <c r="D211" s="46"/>
      <c r="E211" s="46"/>
      <c r="F211" s="46"/>
      <c r="G211" s="46"/>
      <c r="H211" s="46"/>
      <c r="K211" s="46"/>
    </row>
    <row r="212" spans="1:11" s="109" customFormat="1">
      <c r="A212" s="46"/>
      <c r="B212" s="46"/>
      <c r="C212" s="46"/>
      <c r="D212" s="46"/>
      <c r="E212" s="46"/>
      <c r="F212" s="46"/>
      <c r="G212" s="46"/>
      <c r="H212" s="46"/>
      <c r="K212" s="46"/>
    </row>
    <row r="213" spans="1:11" s="109" customFormat="1">
      <c r="A213" s="46"/>
      <c r="B213" s="46"/>
      <c r="C213" s="46"/>
      <c r="D213" s="46"/>
      <c r="E213" s="46"/>
      <c r="F213" s="46"/>
      <c r="G213" s="46"/>
      <c r="H213" s="46"/>
      <c r="K213" s="46"/>
    </row>
    <row r="214" spans="1:11" s="109" customFormat="1">
      <c r="A214" s="46"/>
      <c r="B214" s="46"/>
      <c r="C214" s="46"/>
      <c r="D214" s="46"/>
      <c r="E214" s="46"/>
      <c r="F214" s="46"/>
      <c r="G214" s="46"/>
      <c r="H214" s="46"/>
      <c r="K214" s="46"/>
    </row>
    <row r="215" spans="1:11" s="109" customFormat="1">
      <c r="A215" s="46"/>
      <c r="B215" s="46"/>
      <c r="C215" s="46"/>
      <c r="D215" s="46"/>
      <c r="E215" s="46"/>
      <c r="F215" s="46"/>
      <c r="G215" s="46"/>
      <c r="H215" s="46"/>
      <c r="K215" s="46"/>
    </row>
    <row r="216" spans="1:11" s="109" customFormat="1">
      <c r="A216" s="46"/>
      <c r="B216" s="46"/>
      <c r="C216" s="46"/>
      <c r="D216" s="46"/>
      <c r="E216" s="46"/>
      <c r="F216" s="46"/>
      <c r="G216" s="46"/>
      <c r="H216" s="46"/>
      <c r="K216" s="46"/>
    </row>
    <row r="217" spans="1:11" s="109" customFormat="1">
      <c r="A217" s="46"/>
      <c r="B217" s="46"/>
      <c r="C217" s="46"/>
      <c r="D217" s="46"/>
      <c r="E217" s="46"/>
      <c r="F217" s="46"/>
      <c r="G217" s="46"/>
      <c r="H217" s="46"/>
      <c r="K217" s="46"/>
    </row>
    <row r="218" spans="1:11" s="109" customFormat="1">
      <c r="A218" s="46"/>
      <c r="B218" s="46"/>
      <c r="C218" s="46"/>
      <c r="D218" s="46"/>
      <c r="E218" s="46"/>
      <c r="F218" s="46"/>
      <c r="G218" s="46"/>
      <c r="H218" s="46"/>
      <c r="K218" s="46"/>
    </row>
    <row r="219" spans="1:11" s="109" customFormat="1">
      <c r="A219" s="46"/>
      <c r="B219" s="46"/>
      <c r="C219" s="46"/>
      <c r="D219" s="46"/>
      <c r="E219" s="46"/>
      <c r="F219" s="46"/>
      <c r="G219" s="46"/>
      <c r="H219" s="46"/>
      <c r="K219" s="46"/>
    </row>
    <row r="220" spans="1:11" s="109" customFormat="1">
      <c r="A220" s="46"/>
      <c r="B220" s="46"/>
      <c r="C220" s="46"/>
      <c r="D220" s="46"/>
      <c r="E220" s="46"/>
      <c r="F220" s="46"/>
      <c r="G220" s="46"/>
      <c r="H220" s="46"/>
      <c r="K220" s="46"/>
    </row>
    <row r="221" spans="1:11" s="109" customFormat="1">
      <c r="A221" s="46"/>
      <c r="B221" s="46"/>
      <c r="C221" s="46"/>
      <c r="D221" s="46"/>
      <c r="E221" s="46"/>
      <c r="F221" s="46"/>
      <c r="G221" s="46"/>
      <c r="H221" s="46"/>
      <c r="K221" s="46"/>
    </row>
    <row r="222" spans="1:11" s="109" customFormat="1">
      <c r="A222" s="46"/>
      <c r="B222" s="46"/>
      <c r="C222" s="46"/>
      <c r="D222" s="46"/>
      <c r="E222" s="46"/>
      <c r="F222" s="46"/>
      <c r="G222" s="46"/>
      <c r="H222" s="46"/>
      <c r="K222" s="46"/>
    </row>
    <row r="223" spans="1:11" s="109" customFormat="1">
      <c r="A223" s="46"/>
      <c r="B223" s="46"/>
      <c r="C223" s="46"/>
      <c r="D223" s="46"/>
      <c r="E223" s="46"/>
      <c r="F223" s="46"/>
      <c r="G223" s="46"/>
      <c r="H223" s="46"/>
      <c r="K223" s="46"/>
    </row>
    <row r="224" spans="1:11" s="109" customFormat="1">
      <c r="A224" s="46"/>
      <c r="B224" s="46"/>
      <c r="C224" s="46"/>
      <c r="D224" s="46"/>
      <c r="E224" s="46"/>
      <c r="F224" s="46"/>
      <c r="G224" s="46"/>
      <c r="H224" s="46"/>
      <c r="K224" s="46"/>
    </row>
    <row r="225" spans="1:11" s="109" customFormat="1">
      <c r="A225" s="46"/>
      <c r="B225" s="46"/>
      <c r="C225" s="46"/>
      <c r="D225" s="46"/>
      <c r="E225" s="46"/>
      <c r="F225" s="46"/>
      <c r="G225" s="46"/>
      <c r="H225" s="46"/>
      <c r="K225" s="46"/>
    </row>
    <row r="226" spans="1:11" s="109" customFormat="1">
      <c r="A226" s="46"/>
      <c r="B226" s="46"/>
      <c r="C226" s="46"/>
      <c r="D226" s="46"/>
      <c r="E226" s="46"/>
      <c r="F226" s="46"/>
      <c r="G226" s="46"/>
      <c r="H226" s="46"/>
      <c r="K226" s="46"/>
    </row>
    <row r="227" spans="1:11" s="109" customFormat="1">
      <c r="A227" s="46"/>
      <c r="B227" s="46"/>
      <c r="C227" s="46"/>
      <c r="D227" s="46"/>
      <c r="E227" s="46"/>
      <c r="F227" s="46"/>
      <c r="G227" s="46"/>
      <c r="H227" s="46"/>
      <c r="K227" s="46"/>
    </row>
    <row r="228" spans="1:11" s="109" customFormat="1">
      <c r="A228" s="46"/>
      <c r="B228" s="46"/>
      <c r="C228" s="46"/>
      <c r="D228" s="46"/>
      <c r="E228" s="46"/>
      <c r="F228" s="46"/>
      <c r="G228" s="46"/>
      <c r="H228" s="46"/>
      <c r="K228" s="46"/>
    </row>
    <row r="229" spans="1:11" s="109" customFormat="1">
      <c r="A229" s="46"/>
      <c r="B229" s="46"/>
      <c r="C229" s="46"/>
      <c r="D229" s="46"/>
      <c r="E229" s="46"/>
      <c r="F229" s="46"/>
      <c r="G229" s="46"/>
      <c r="H229" s="46"/>
      <c r="K229" s="46"/>
    </row>
    <row r="230" spans="1:11" s="109" customFormat="1">
      <c r="A230" s="46"/>
      <c r="B230" s="46"/>
      <c r="C230" s="46"/>
      <c r="D230" s="46"/>
      <c r="E230" s="46"/>
      <c r="F230" s="46"/>
      <c r="G230" s="46"/>
      <c r="H230" s="46"/>
      <c r="K230" s="46"/>
    </row>
    <row r="231" spans="1:11" s="109" customFormat="1">
      <c r="A231" s="46"/>
      <c r="B231" s="46"/>
      <c r="C231" s="46"/>
      <c r="D231" s="46"/>
      <c r="E231" s="46"/>
      <c r="F231" s="46"/>
      <c r="G231" s="46"/>
      <c r="H231" s="46"/>
      <c r="K231" s="46"/>
    </row>
  </sheetData>
  <mergeCells count="3">
    <mergeCell ref="A2:J2"/>
    <mergeCell ref="A3:J3"/>
    <mergeCell ref="A4:J4"/>
  </mergeCells>
  <pageMargins left="0.27" right="0.15" top="0.39" bottom="0.1" header="0.21" footer="0.1"/>
  <pageSetup scale="90" orientation="portrait" horizontalDpi="300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FF00"/>
  </sheetPr>
  <dimension ref="A1:N231"/>
  <sheetViews>
    <sheetView topLeftCell="A25" workbookViewId="0">
      <selection activeCell="J13" sqref="J13"/>
    </sheetView>
  </sheetViews>
  <sheetFormatPr defaultRowHeight="12.75"/>
  <cols>
    <col min="1" max="1" width="6" style="46" customWidth="1"/>
    <col min="2" max="3" width="9.140625" style="46"/>
    <col min="4" max="4" width="16.5703125" style="46" customWidth="1"/>
    <col min="5" max="5" width="12.42578125" style="46" customWidth="1"/>
    <col min="6" max="6" width="13.140625" style="46" customWidth="1"/>
    <col min="7" max="7" width="10" style="46" customWidth="1"/>
    <col min="8" max="8" width="11.5703125" style="46" customWidth="1"/>
    <col min="9" max="9" width="11.42578125" style="46" customWidth="1"/>
    <col min="10" max="10" width="13.28515625" style="109" customWidth="1"/>
    <col min="11" max="11" width="15.7109375" style="46" customWidth="1"/>
    <col min="12" max="12" width="16.85546875" style="109" customWidth="1"/>
    <col min="13" max="13" width="17" style="109" customWidth="1"/>
    <col min="14" max="14" width="17" style="46" customWidth="1"/>
    <col min="15" max="16384" width="9.140625" style="46"/>
  </cols>
  <sheetData>
    <row r="1" spans="1:13">
      <c r="A1" s="47"/>
      <c r="B1" s="48"/>
      <c r="C1" s="48"/>
      <c r="D1" s="48"/>
      <c r="E1" s="48"/>
      <c r="F1" s="48"/>
      <c r="G1" s="48"/>
      <c r="H1" s="48"/>
      <c r="I1" s="48"/>
      <c r="J1" s="169" t="s">
        <v>81</v>
      </c>
    </row>
    <row r="2" spans="1:13">
      <c r="A2" s="389" t="s">
        <v>80</v>
      </c>
      <c r="B2" s="390"/>
      <c r="C2" s="390"/>
      <c r="D2" s="390"/>
      <c r="E2" s="390"/>
      <c r="F2" s="390"/>
      <c r="G2" s="390"/>
      <c r="H2" s="390"/>
      <c r="I2" s="390"/>
      <c r="J2" s="391"/>
    </row>
    <row r="3" spans="1:13">
      <c r="A3" s="389" t="s">
        <v>205</v>
      </c>
      <c r="B3" s="390"/>
      <c r="C3" s="390"/>
      <c r="D3" s="390"/>
      <c r="E3" s="390"/>
      <c r="F3" s="390"/>
      <c r="G3" s="390"/>
      <c r="H3" s="390"/>
      <c r="I3" s="390"/>
      <c r="J3" s="391"/>
    </row>
    <row r="4" spans="1:13">
      <c r="A4" s="389"/>
      <c r="B4" s="390"/>
      <c r="C4" s="390"/>
      <c r="D4" s="390"/>
      <c r="E4" s="390"/>
      <c r="F4" s="390"/>
      <c r="G4" s="390"/>
      <c r="H4" s="390"/>
      <c r="I4" s="390"/>
      <c r="J4" s="391"/>
    </row>
    <row r="5" spans="1:13">
      <c r="A5" s="54" t="s">
        <v>77</v>
      </c>
      <c r="B5" s="215"/>
      <c r="C5" s="215"/>
      <c r="D5" s="215"/>
      <c r="E5" s="215"/>
      <c r="F5" s="215"/>
      <c r="G5" s="215"/>
      <c r="H5" s="215"/>
      <c r="I5" s="215"/>
      <c r="J5" s="170"/>
    </row>
    <row r="6" spans="1:13">
      <c r="A6" s="54" t="s">
        <v>76</v>
      </c>
      <c r="B6" s="55"/>
      <c r="C6" s="55"/>
      <c r="D6" s="55"/>
      <c r="E6" s="55"/>
      <c r="F6" s="55"/>
      <c r="G6" s="55"/>
      <c r="H6" s="55"/>
      <c r="I6" s="55"/>
      <c r="J6" s="171"/>
    </row>
    <row r="7" spans="1:13">
      <c r="A7" s="47"/>
      <c r="B7" s="48"/>
      <c r="C7" s="48"/>
      <c r="D7" s="49"/>
      <c r="E7" s="88" t="s">
        <v>8</v>
      </c>
      <c r="F7" s="50"/>
      <c r="G7" s="52"/>
      <c r="H7" s="52"/>
      <c r="I7" s="53"/>
      <c r="J7" s="110"/>
    </row>
    <row r="8" spans="1:13">
      <c r="A8" s="54"/>
      <c r="B8" s="55"/>
      <c r="C8" s="55"/>
      <c r="D8" s="56"/>
      <c r="E8" s="214" t="s">
        <v>9</v>
      </c>
      <c r="F8" s="53"/>
      <c r="G8" s="59"/>
      <c r="H8" s="59"/>
      <c r="I8" s="58"/>
      <c r="J8" s="111"/>
    </row>
    <row r="9" spans="1:13">
      <c r="A9" s="61" t="s">
        <v>68</v>
      </c>
      <c r="B9" s="55"/>
      <c r="C9" s="55"/>
      <c r="D9" s="56"/>
      <c r="E9" s="214" t="s">
        <v>10</v>
      </c>
      <c r="F9" s="60" t="s">
        <v>12</v>
      </c>
      <c r="G9" s="60" t="s">
        <v>14</v>
      </c>
      <c r="H9" s="60" t="s">
        <v>20</v>
      </c>
      <c r="I9" s="60" t="s">
        <v>22</v>
      </c>
      <c r="J9" s="112" t="s">
        <v>24</v>
      </c>
    </row>
    <row r="10" spans="1:13">
      <c r="A10" s="54"/>
      <c r="B10" s="55"/>
      <c r="C10" s="55"/>
      <c r="D10" s="56"/>
      <c r="E10" s="214" t="s">
        <v>11</v>
      </c>
      <c r="F10" s="60" t="s">
        <v>13</v>
      </c>
      <c r="G10" s="59"/>
      <c r="H10" s="60" t="s">
        <v>21</v>
      </c>
      <c r="I10" s="60" t="s">
        <v>23</v>
      </c>
      <c r="J10" s="111"/>
    </row>
    <row r="11" spans="1:13">
      <c r="A11" s="62"/>
      <c r="B11" s="63"/>
      <c r="C11" s="63"/>
      <c r="D11" s="64"/>
      <c r="E11" s="65">
        <v>0.3</v>
      </c>
      <c r="F11" s="66">
        <v>0.7</v>
      </c>
      <c r="G11" s="59"/>
      <c r="H11" s="67"/>
      <c r="I11" s="68"/>
      <c r="J11" s="113"/>
    </row>
    <row r="12" spans="1:13" ht="18" customHeight="1">
      <c r="A12" s="70" t="s">
        <v>0</v>
      </c>
      <c r="B12" s="71"/>
      <c r="C12" s="71"/>
      <c r="D12" s="72"/>
      <c r="E12" s="51"/>
      <c r="F12" s="51"/>
      <c r="G12" s="51"/>
      <c r="H12" s="51"/>
      <c r="I12" s="51"/>
      <c r="J12" s="110"/>
      <c r="L12" s="118" t="s">
        <v>90</v>
      </c>
      <c r="M12" s="118" t="s">
        <v>89</v>
      </c>
    </row>
    <row r="13" spans="1:13" ht="18" customHeight="1">
      <c r="A13" s="73" t="s">
        <v>1</v>
      </c>
      <c r="B13" s="72"/>
      <c r="C13" s="72"/>
      <c r="D13" s="72"/>
      <c r="E13" s="94">
        <f>M19*0.3</f>
        <v>837984.84479999985</v>
      </c>
      <c r="F13" s="94">
        <f>M19*0.7</f>
        <v>1955297.9711999996</v>
      </c>
      <c r="G13" s="94"/>
      <c r="H13" s="94"/>
      <c r="I13" s="94"/>
      <c r="J13" s="275">
        <f>SUM(E13:I13)</f>
        <v>2793282.8159999996</v>
      </c>
      <c r="K13" s="175" t="e">
        <f>SUM(J13+#REF!+#REF!+#REF!+#REF!+#REF!+#REF!+#REF!+#REF!+#REF!+#REF!+#REF!)</f>
        <v>#REF!</v>
      </c>
      <c r="L13" s="109">
        <v>21367644.399999999</v>
      </c>
      <c r="M13" s="109">
        <v>4171566.4</v>
      </c>
    </row>
    <row r="14" spans="1:13" ht="18" customHeight="1">
      <c r="A14" s="73" t="s">
        <v>2</v>
      </c>
      <c r="B14" s="72"/>
      <c r="C14" s="72"/>
      <c r="D14" s="72"/>
      <c r="E14" s="102"/>
      <c r="F14" s="102"/>
      <c r="G14" s="102"/>
      <c r="H14" s="102"/>
      <c r="I14" s="102"/>
      <c r="J14" s="110">
        <f>SUM(E14:I14)</f>
        <v>0</v>
      </c>
      <c r="K14" s="117" t="s">
        <v>88</v>
      </c>
      <c r="L14" s="109">
        <v>9400000</v>
      </c>
      <c r="M14" s="109">
        <v>5637398.9699999997</v>
      </c>
    </row>
    <row r="15" spans="1:13" ht="18" customHeight="1">
      <c r="A15" s="75" t="s">
        <v>3</v>
      </c>
      <c r="B15" s="48"/>
      <c r="C15" s="48"/>
      <c r="D15" s="48"/>
      <c r="E15" s="102"/>
      <c r="F15" s="102"/>
      <c r="G15" s="102"/>
      <c r="H15" s="102"/>
      <c r="I15" s="102"/>
      <c r="J15" s="110"/>
      <c r="L15" s="116">
        <f>SUM(L13:L14)</f>
        <v>30767644.399999999</v>
      </c>
      <c r="M15" s="116">
        <f>SUM(M13:M14)</f>
        <v>9808965.3699999992</v>
      </c>
    </row>
    <row r="16" spans="1:13" ht="18" customHeight="1">
      <c r="A16" s="76" t="s">
        <v>78</v>
      </c>
      <c r="B16" s="55"/>
      <c r="C16" s="55"/>
      <c r="D16" s="55"/>
      <c r="E16" s="103"/>
      <c r="F16" s="103"/>
      <c r="G16" s="103"/>
      <c r="H16" s="103"/>
      <c r="I16" s="103"/>
      <c r="J16" s="113">
        <f>SUM(E16:I16)</f>
        <v>0</v>
      </c>
      <c r="K16" s="46">
        <v>11930281.960000001</v>
      </c>
    </row>
    <row r="17" spans="1:14" ht="18" customHeight="1">
      <c r="A17" s="77" t="s">
        <v>79</v>
      </c>
      <c r="B17" s="72"/>
      <c r="C17" s="72"/>
      <c r="D17" s="72"/>
      <c r="E17" s="94"/>
      <c r="F17" s="94"/>
      <c r="G17" s="94"/>
      <c r="H17" s="94"/>
      <c r="I17" s="94"/>
      <c r="J17" s="113">
        <f>SUM(E17:I17)</f>
        <v>0</v>
      </c>
      <c r="K17" s="173">
        <f>K16-J16</f>
        <v>11930281.960000001</v>
      </c>
      <c r="M17" s="109">
        <v>25936573.030000001</v>
      </c>
    </row>
    <row r="18" spans="1:14" ht="18" customHeight="1">
      <c r="A18" s="70" t="s">
        <v>7</v>
      </c>
      <c r="B18" s="72"/>
      <c r="C18" s="72"/>
      <c r="D18" s="72"/>
      <c r="E18" s="119">
        <f>SUM(E13:E17)</f>
        <v>837984.84479999985</v>
      </c>
      <c r="F18" s="119">
        <f t="shared" ref="F18:J18" si="0">SUM(F13:F17)</f>
        <v>1955297.9711999996</v>
      </c>
      <c r="G18" s="119">
        <f t="shared" si="0"/>
        <v>0</v>
      </c>
      <c r="H18" s="119">
        <f t="shared" si="0"/>
        <v>0</v>
      </c>
      <c r="I18" s="119">
        <f t="shared" si="0"/>
        <v>0</v>
      </c>
      <c r="J18" s="119">
        <f t="shared" si="0"/>
        <v>2793282.8159999996</v>
      </c>
      <c r="K18" s="166">
        <f t="shared" ref="K18:K41" si="1">SUM(E18:I18)</f>
        <v>2793282.8159999996</v>
      </c>
      <c r="L18" s="193" t="s">
        <v>171</v>
      </c>
      <c r="M18" s="192">
        <f>486569537.51-430703881.19</f>
        <v>55865656.319999993</v>
      </c>
    </row>
    <row r="19" spans="1:14" s="109" customFormat="1" ht="18" customHeight="1">
      <c r="A19" s="74" t="s">
        <v>99</v>
      </c>
      <c r="B19" s="72" t="s">
        <v>100</v>
      </c>
      <c r="C19" s="72"/>
      <c r="D19" s="72"/>
      <c r="E19" s="94">
        <f>SUM('DRRM Funds Sept 2014'!E41)</f>
        <v>13123321.493100002</v>
      </c>
      <c r="F19" s="94">
        <f>SUM('DRRM Funds Sept 2014'!F41)</f>
        <v>21477164.57</v>
      </c>
      <c r="G19" s="94">
        <f>SUM('DRRM Funds Sept 2014'!G41)</f>
        <v>0</v>
      </c>
      <c r="H19" s="94">
        <f>SUM('DRRM Funds Sept 2014'!H41)</f>
        <v>10140</v>
      </c>
      <c r="I19" s="94">
        <f>SUM('DRRM Funds Sept 2014'!I41)</f>
        <v>0</v>
      </c>
      <c r="J19" s="94">
        <f>SUM('DRRM Funds Sept 2014'!J41)</f>
        <v>34610626.063100003</v>
      </c>
      <c r="K19" s="166">
        <f t="shared" si="1"/>
        <v>34610626.063100003</v>
      </c>
      <c r="L19" s="194">
        <v>0.05</v>
      </c>
      <c r="M19" s="192">
        <f>M18*0.05</f>
        <v>2793282.8159999996</v>
      </c>
    </row>
    <row r="20" spans="1:14" s="109" customFormat="1" ht="18" customHeight="1">
      <c r="A20" s="70" t="s">
        <v>101</v>
      </c>
      <c r="B20" s="122"/>
      <c r="C20" s="72"/>
      <c r="D20" s="72"/>
      <c r="E20" s="119">
        <f>SUM(E18:E19)</f>
        <v>13961306.337900002</v>
      </c>
      <c r="F20" s="119">
        <f t="shared" ref="F20:J20" si="2">SUM(F18:F19)</f>
        <v>23432462.541200001</v>
      </c>
      <c r="G20" s="119">
        <f t="shared" si="2"/>
        <v>0</v>
      </c>
      <c r="H20" s="119">
        <f t="shared" si="2"/>
        <v>10140</v>
      </c>
      <c r="I20" s="119">
        <f t="shared" si="2"/>
        <v>0</v>
      </c>
      <c r="J20" s="119">
        <f t="shared" si="2"/>
        <v>37403908.879100002</v>
      </c>
      <c r="K20" s="166">
        <f t="shared" si="1"/>
        <v>37403908.879100002</v>
      </c>
    </row>
    <row r="21" spans="1:14" ht="18" customHeight="1">
      <c r="A21" s="70" t="s">
        <v>15</v>
      </c>
      <c r="B21" s="72"/>
      <c r="C21" s="72"/>
      <c r="D21" s="72"/>
      <c r="E21" s="94"/>
      <c r="F21" s="94"/>
      <c r="G21" s="94"/>
      <c r="H21" s="94"/>
      <c r="I21" s="94"/>
      <c r="J21" s="114"/>
      <c r="K21" s="166">
        <f t="shared" si="1"/>
        <v>0</v>
      </c>
      <c r="M21" s="109">
        <v>26972032.48</v>
      </c>
    </row>
    <row r="22" spans="1:14" ht="18" customHeight="1">
      <c r="A22" s="78" t="s">
        <v>206</v>
      </c>
      <c r="B22" s="72"/>
      <c r="C22" s="72"/>
      <c r="D22" s="72"/>
      <c r="E22" s="94"/>
      <c r="F22" s="94">
        <v>4800</v>
      </c>
      <c r="G22" s="94"/>
      <c r="H22" s="94"/>
      <c r="I22" s="94"/>
      <c r="J22" s="114">
        <f>SUM(E22:I22)</f>
        <v>4800</v>
      </c>
      <c r="K22" s="166"/>
    </row>
    <row r="23" spans="1:14" ht="18" customHeight="1">
      <c r="A23" s="78" t="s">
        <v>207</v>
      </c>
      <c r="B23" s="72"/>
      <c r="C23" s="72"/>
      <c r="D23" s="72"/>
      <c r="E23" s="94"/>
      <c r="F23" s="94">
        <v>221890</v>
      </c>
      <c r="G23" s="94"/>
      <c r="H23" s="94"/>
      <c r="I23" s="94"/>
      <c r="J23" s="114">
        <f t="shared" ref="J23" si="3">SUM(E23:I23)</f>
        <v>221890</v>
      </c>
      <c r="K23" s="166"/>
    </row>
    <row r="24" spans="1:14" ht="18" customHeight="1">
      <c r="A24" s="78" t="s">
        <v>16</v>
      </c>
      <c r="B24" s="72"/>
      <c r="C24" s="72"/>
      <c r="D24" s="72"/>
      <c r="E24" s="94"/>
      <c r="F24" s="94"/>
      <c r="G24" s="94"/>
      <c r="H24" s="94"/>
      <c r="I24" s="94"/>
      <c r="J24" s="114">
        <f t="shared" ref="J24" si="4">SUM(E24:I24)</f>
        <v>0</v>
      </c>
      <c r="K24" s="166">
        <f t="shared" si="1"/>
        <v>0</v>
      </c>
      <c r="L24" s="176">
        <f>518731460.56*0.05</f>
        <v>25936573.028000001</v>
      </c>
      <c r="M24" s="109">
        <v>10934284.82</v>
      </c>
    </row>
    <row r="25" spans="1:14" ht="18" customHeight="1">
      <c r="A25" s="78" t="s">
        <v>70</v>
      </c>
      <c r="B25" s="72"/>
      <c r="C25" s="72"/>
      <c r="D25" s="72"/>
      <c r="E25" s="94"/>
      <c r="F25" s="94">
        <v>113170</v>
      </c>
      <c r="G25" s="94"/>
      <c r="H25" s="94"/>
      <c r="I25" s="94"/>
      <c r="J25" s="114">
        <f>SUM(E25:I25)</f>
        <v>113170</v>
      </c>
      <c r="K25" s="166">
        <f t="shared" si="1"/>
        <v>113170</v>
      </c>
      <c r="L25" s="109" t="e">
        <f>L24-K13</f>
        <v>#REF!</v>
      </c>
      <c r="M25" s="109">
        <f>M21-M24</f>
        <v>16037747.66</v>
      </c>
    </row>
    <row r="26" spans="1:14" ht="18" customHeight="1">
      <c r="A26" s="78" t="s">
        <v>71</v>
      </c>
      <c r="B26" s="72"/>
      <c r="C26" s="72"/>
      <c r="D26" s="72"/>
      <c r="E26" s="94"/>
      <c r="F26" s="94">
        <f>438089.07+99500</f>
        <v>537589.07000000007</v>
      </c>
      <c r="G26" s="94"/>
      <c r="H26" s="94"/>
      <c r="I26" s="94"/>
      <c r="J26" s="114">
        <f t="shared" ref="J26:J38" si="5">SUM(E26:I26)</f>
        <v>537589.07000000007</v>
      </c>
      <c r="K26" s="166">
        <f t="shared" si="1"/>
        <v>537589.07000000007</v>
      </c>
    </row>
    <row r="27" spans="1:14" ht="18" customHeight="1">
      <c r="A27" s="79" t="s">
        <v>91</v>
      </c>
      <c r="B27" s="72"/>
      <c r="C27" s="72"/>
      <c r="D27" s="72"/>
      <c r="E27" s="94"/>
      <c r="F27" s="94">
        <v>25700</v>
      </c>
      <c r="G27" s="94"/>
      <c r="H27" s="94"/>
      <c r="I27" s="94"/>
      <c r="J27" s="114">
        <f t="shared" si="5"/>
        <v>25700</v>
      </c>
      <c r="K27" s="166">
        <f t="shared" si="1"/>
        <v>25700</v>
      </c>
    </row>
    <row r="28" spans="1:14" ht="18" customHeight="1">
      <c r="A28" s="78" t="s">
        <v>17</v>
      </c>
      <c r="B28" s="72"/>
      <c r="C28" s="72"/>
      <c r="D28" s="72"/>
      <c r="E28" s="94"/>
      <c r="F28" s="94"/>
      <c r="G28" s="94"/>
      <c r="H28" s="94"/>
      <c r="I28" s="94"/>
      <c r="J28" s="114">
        <f t="shared" si="5"/>
        <v>0</v>
      </c>
      <c r="K28" s="166">
        <f t="shared" si="1"/>
        <v>0</v>
      </c>
    </row>
    <row r="29" spans="1:14" ht="18" customHeight="1">
      <c r="A29" s="78" t="s">
        <v>18</v>
      </c>
      <c r="B29" s="72"/>
      <c r="C29" s="72"/>
      <c r="D29" s="72"/>
      <c r="E29" s="94"/>
      <c r="F29" s="94">
        <v>97690.03</v>
      </c>
      <c r="G29" s="94"/>
      <c r="H29" s="94"/>
      <c r="I29" s="94"/>
      <c r="J29" s="114">
        <f t="shared" si="5"/>
        <v>97690.03</v>
      </c>
      <c r="K29" s="166">
        <f t="shared" si="1"/>
        <v>97690.03</v>
      </c>
      <c r="L29" s="118" t="s">
        <v>162</v>
      </c>
    </row>
    <row r="30" spans="1:14" ht="18" customHeight="1">
      <c r="A30" s="78" t="s">
        <v>102</v>
      </c>
      <c r="B30" s="72"/>
      <c r="C30" s="72"/>
      <c r="D30" s="72"/>
      <c r="E30" s="94"/>
      <c r="F30" s="94"/>
      <c r="G30" s="94"/>
      <c r="H30" s="94"/>
      <c r="I30" s="94"/>
      <c r="J30" s="114">
        <f t="shared" si="5"/>
        <v>0</v>
      </c>
      <c r="K30" s="166">
        <f t="shared" si="1"/>
        <v>0</v>
      </c>
      <c r="L30" s="109">
        <f>SUM(F29:F30)</f>
        <v>97690.03</v>
      </c>
    </row>
    <row r="31" spans="1:14" ht="18" customHeight="1">
      <c r="A31" s="78" t="s">
        <v>19</v>
      </c>
      <c r="B31" s="72"/>
      <c r="C31" s="72"/>
      <c r="D31" s="72"/>
      <c r="E31" s="94"/>
      <c r="F31" s="94"/>
      <c r="G31" s="94"/>
      <c r="H31" s="94"/>
      <c r="I31" s="94"/>
      <c r="J31" s="114">
        <f t="shared" si="5"/>
        <v>0</v>
      </c>
      <c r="K31" s="166">
        <f t="shared" si="1"/>
        <v>0</v>
      </c>
      <c r="L31" s="109">
        <v>147060</v>
      </c>
      <c r="N31" s="166"/>
    </row>
    <row r="32" spans="1:14" ht="18" customHeight="1">
      <c r="A32" s="78" t="s">
        <v>168</v>
      </c>
      <c r="B32" s="72"/>
      <c r="C32" s="72"/>
      <c r="D32" s="72"/>
      <c r="E32" s="94"/>
      <c r="F32" s="94"/>
      <c r="G32" s="94"/>
      <c r="H32" s="94"/>
      <c r="I32" s="94"/>
      <c r="J32" s="114">
        <f t="shared" si="5"/>
        <v>0</v>
      </c>
      <c r="K32" s="166">
        <f t="shared" si="1"/>
        <v>0</v>
      </c>
    </row>
    <row r="33" spans="1:14" ht="18" customHeight="1">
      <c r="A33" s="78" t="s">
        <v>208</v>
      </c>
      <c r="B33" s="72"/>
      <c r="C33" s="72"/>
      <c r="D33" s="72"/>
      <c r="E33" s="94"/>
      <c r="F33" s="94"/>
      <c r="G33" s="94"/>
      <c r="H33" s="94"/>
      <c r="I33" s="94"/>
      <c r="J33" s="114"/>
      <c r="K33" s="166">
        <f t="shared" si="1"/>
        <v>0</v>
      </c>
      <c r="L33" s="109">
        <v>1555500</v>
      </c>
    </row>
    <row r="34" spans="1:14" ht="18" customHeight="1">
      <c r="A34" s="78"/>
      <c r="B34" s="72" t="s">
        <v>209</v>
      </c>
      <c r="C34" s="72"/>
      <c r="D34" s="72"/>
      <c r="E34" s="94"/>
      <c r="F34" s="94"/>
      <c r="G34" s="94"/>
      <c r="H34" s="94"/>
      <c r="I34" s="94"/>
      <c r="J34" s="114">
        <f t="shared" si="5"/>
        <v>0</v>
      </c>
      <c r="K34" s="166">
        <f t="shared" si="1"/>
        <v>0</v>
      </c>
      <c r="L34" s="109">
        <v>2209000</v>
      </c>
    </row>
    <row r="35" spans="1:14" ht="18" customHeight="1">
      <c r="A35" s="78" t="s">
        <v>75</v>
      </c>
      <c r="B35" s="72"/>
      <c r="C35" s="72"/>
      <c r="D35" s="72"/>
      <c r="E35" s="94"/>
      <c r="F35" s="94"/>
      <c r="G35" s="94"/>
      <c r="H35" s="94"/>
      <c r="I35" s="94"/>
      <c r="J35" s="114">
        <f t="shared" si="5"/>
        <v>0</v>
      </c>
      <c r="K35" s="166">
        <f t="shared" si="1"/>
        <v>0</v>
      </c>
      <c r="L35" s="109">
        <v>173800</v>
      </c>
    </row>
    <row r="36" spans="1:14" ht="18" customHeight="1">
      <c r="A36" s="79" t="s">
        <v>94</v>
      </c>
      <c r="B36" s="72"/>
      <c r="C36" s="72"/>
      <c r="D36" s="72"/>
      <c r="E36" s="94"/>
      <c r="F36" s="94"/>
      <c r="G36" s="94"/>
      <c r="H36" s="94"/>
      <c r="I36" s="94"/>
      <c r="J36" s="114">
        <f t="shared" si="5"/>
        <v>0</v>
      </c>
      <c r="K36" s="166">
        <f t="shared" si="1"/>
        <v>0</v>
      </c>
      <c r="L36" s="109">
        <v>177000</v>
      </c>
    </row>
    <row r="37" spans="1:14" ht="18" customHeight="1">
      <c r="A37" s="79" t="s">
        <v>95</v>
      </c>
      <c r="B37" s="72"/>
      <c r="C37" s="72"/>
      <c r="D37" s="72"/>
      <c r="E37" s="94"/>
      <c r="F37" s="94"/>
      <c r="G37" s="94"/>
      <c r="H37" s="94"/>
      <c r="I37" s="94"/>
      <c r="J37" s="114">
        <f t="shared" si="5"/>
        <v>0</v>
      </c>
      <c r="K37" s="166">
        <f t="shared" si="1"/>
        <v>0</v>
      </c>
      <c r="L37" s="109">
        <v>204055</v>
      </c>
    </row>
    <row r="38" spans="1:14" ht="18" customHeight="1">
      <c r="A38" s="78" t="s">
        <v>96</v>
      </c>
      <c r="B38" s="72"/>
      <c r="C38" s="72"/>
      <c r="D38" s="72"/>
      <c r="E38" s="94"/>
      <c r="F38" s="94"/>
      <c r="G38" s="94"/>
      <c r="H38" s="94"/>
      <c r="I38" s="94"/>
      <c r="J38" s="114">
        <f t="shared" si="5"/>
        <v>0</v>
      </c>
      <c r="K38" s="166">
        <f t="shared" si="1"/>
        <v>0</v>
      </c>
      <c r="L38" s="109">
        <v>71070</v>
      </c>
    </row>
    <row r="39" spans="1:14" ht="18" customHeight="1">
      <c r="A39" s="84" t="s">
        <v>92</v>
      </c>
      <c r="B39" s="63"/>
      <c r="C39" s="63"/>
      <c r="D39" s="63"/>
      <c r="E39" s="94">
        <f t="shared" ref="E39:J39" si="6">SUM(E22:E38)</f>
        <v>0</v>
      </c>
      <c r="F39" s="94">
        <f t="shared" si="6"/>
        <v>1000839.1000000001</v>
      </c>
      <c r="G39" s="94">
        <f t="shared" si="6"/>
        <v>0</v>
      </c>
      <c r="H39" s="94">
        <f t="shared" si="6"/>
        <v>0</v>
      </c>
      <c r="I39" s="94">
        <f t="shared" si="6"/>
        <v>0</v>
      </c>
      <c r="J39" s="94">
        <f t="shared" si="6"/>
        <v>1000839.1000000001</v>
      </c>
      <c r="K39" s="166">
        <f t="shared" si="1"/>
        <v>1000839.1000000001</v>
      </c>
      <c r="L39" s="109">
        <v>27800</v>
      </c>
      <c r="M39" s="46"/>
    </row>
    <row r="40" spans="1:14" ht="18" customHeight="1">
      <c r="A40" s="84" t="s">
        <v>103</v>
      </c>
      <c r="B40" s="63"/>
      <c r="C40" s="63"/>
      <c r="D40" s="63"/>
      <c r="E40" s="103">
        <f>SUM('DRRM Funds Sept 2014'!E40)</f>
        <v>1494196.24</v>
      </c>
      <c r="F40" s="103">
        <f>SUM('DRRM Funds Sept 2014'!F40)</f>
        <v>9525078.5599999987</v>
      </c>
      <c r="G40" s="103">
        <f>SUM('DRRM Funds Sept 2014'!G40)</f>
        <v>0</v>
      </c>
      <c r="H40" s="103">
        <f>SUM('DRRM Funds Sept 2014'!H40)</f>
        <v>0</v>
      </c>
      <c r="I40" s="103">
        <f>SUM('DRRM Funds Sept 2014'!I40)</f>
        <v>0</v>
      </c>
      <c r="J40" s="103">
        <f>SUM('DRRM Funds Sept 2014'!J40)</f>
        <v>11019274.800000001</v>
      </c>
      <c r="K40" s="166">
        <f t="shared" si="1"/>
        <v>11019274.799999999</v>
      </c>
      <c r="L40" s="109">
        <v>126865</v>
      </c>
      <c r="M40" s="109">
        <f>SUM(E40:H40)</f>
        <v>11019274.799999999</v>
      </c>
    </row>
    <row r="41" spans="1:14" ht="18" customHeight="1">
      <c r="A41" s="84" t="s">
        <v>104</v>
      </c>
      <c r="B41" s="63"/>
      <c r="C41" s="63"/>
      <c r="D41" s="63"/>
      <c r="E41" s="103">
        <f>SUM(E39:E40)</f>
        <v>1494196.24</v>
      </c>
      <c r="F41" s="103">
        <f>SUM(F39:F40)</f>
        <v>10525917.659999998</v>
      </c>
      <c r="G41" s="103">
        <f t="shared" ref="G41:J41" si="7">SUM(G39:G40)</f>
        <v>0</v>
      </c>
      <c r="H41" s="103">
        <f t="shared" si="7"/>
        <v>0</v>
      </c>
      <c r="I41" s="103">
        <f t="shared" si="7"/>
        <v>0</v>
      </c>
      <c r="J41" s="103">
        <f t="shared" si="7"/>
        <v>12020113.9</v>
      </c>
      <c r="K41" s="166">
        <f t="shared" si="1"/>
        <v>12020113.899999999</v>
      </c>
      <c r="L41" s="174">
        <f>SUM(L30:L40)</f>
        <v>4789840.03</v>
      </c>
      <c r="M41" s="109">
        <v>10492358.970000001</v>
      </c>
    </row>
    <row r="42" spans="1:14" ht="18" customHeight="1">
      <c r="A42" s="70" t="s">
        <v>93</v>
      </c>
      <c r="B42" s="72"/>
      <c r="C42" s="72"/>
      <c r="D42" s="80"/>
      <c r="E42" s="120">
        <f t="shared" ref="E42:J42" si="8">E20-E39</f>
        <v>13961306.337900002</v>
      </c>
      <c r="F42" s="120">
        <f t="shared" si="8"/>
        <v>22431623.441199999</v>
      </c>
      <c r="G42" s="120">
        <f t="shared" si="8"/>
        <v>0</v>
      </c>
      <c r="H42" s="120">
        <f t="shared" si="8"/>
        <v>10140</v>
      </c>
      <c r="I42" s="120">
        <f t="shared" si="8"/>
        <v>0</v>
      </c>
      <c r="J42" s="120">
        <f t="shared" si="8"/>
        <v>36403069.779100001</v>
      </c>
      <c r="K42" s="166">
        <f>SUM(E42:I42)</f>
        <v>36403069.779100001</v>
      </c>
      <c r="L42" s="46"/>
      <c r="M42" s="109">
        <f>M41-L41</f>
        <v>5702518.9400000004</v>
      </c>
    </row>
    <row r="43" spans="1:14" ht="18" customHeight="1">
      <c r="A43" s="55"/>
      <c r="B43" s="55"/>
      <c r="C43" s="55"/>
      <c r="D43" s="55"/>
      <c r="E43" s="55"/>
      <c r="F43" s="55"/>
      <c r="G43" s="55"/>
      <c r="H43" s="55"/>
      <c r="I43" s="55"/>
      <c r="J43" s="115" t="s">
        <v>74</v>
      </c>
      <c r="K43" s="92">
        <f>SUM(E42:F42)</f>
        <v>36392929.779100001</v>
      </c>
      <c r="M43" s="109">
        <v>0</v>
      </c>
    </row>
    <row r="44" spans="1:14" ht="18" customHeight="1">
      <c r="A44" s="55"/>
      <c r="B44" s="55"/>
      <c r="C44" s="55"/>
      <c r="D44" s="55"/>
      <c r="E44" s="55"/>
      <c r="F44" s="55"/>
      <c r="G44" s="55"/>
      <c r="H44" s="55"/>
      <c r="I44" s="55"/>
      <c r="J44" s="115"/>
      <c r="K44" s="92">
        <f>SUM(E41:F41)</f>
        <v>12020113.899999999</v>
      </c>
      <c r="M44" s="109">
        <f>SUM(M42:M43)</f>
        <v>5702518.9400000004</v>
      </c>
      <c r="N44" s="173">
        <f>SUM(L41+M44)</f>
        <v>10492358.970000001</v>
      </c>
    </row>
    <row r="45" spans="1:14">
      <c r="A45" s="55" t="s">
        <v>83</v>
      </c>
      <c r="B45" s="55"/>
      <c r="C45" s="55"/>
      <c r="D45" s="55"/>
      <c r="E45" s="55"/>
      <c r="F45" s="55"/>
      <c r="G45" s="55"/>
      <c r="H45" s="55" t="s">
        <v>29</v>
      </c>
      <c r="I45" s="55"/>
      <c r="J45" s="115"/>
      <c r="K45" s="55"/>
      <c r="L45" s="109">
        <v>752760</v>
      </c>
    </row>
    <row r="46" spans="1:14">
      <c r="A46" s="55"/>
      <c r="B46" s="55"/>
      <c r="C46" s="55"/>
      <c r="D46" s="55"/>
      <c r="E46" s="55"/>
      <c r="F46" s="55"/>
      <c r="G46" s="55"/>
      <c r="H46" s="55"/>
      <c r="I46" s="55"/>
      <c r="J46" s="115"/>
      <c r="K46" s="55"/>
      <c r="L46" s="109">
        <v>902075</v>
      </c>
    </row>
    <row r="47" spans="1:14">
      <c r="A47" s="55"/>
      <c r="B47" s="55"/>
      <c r="C47" s="55"/>
      <c r="D47" s="55"/>
      <c r="E47" s="55"/>
      <c r="F47" s="55"/>
      <c r="G47" s="55"/>
      <c r="H47" s="172"/>
      <c r="I47" s="55"/>
      <c r="J47" s="115"/>
      <c r="K47" s="55"/>
      <c r="L47" s="109">
        <v>1032329.7</v>
      </c>
      <c r="M47" s="109">
        <v>1897753.11</v>
      </c>
    </row>
    <row r="48" spans="1:14">
      <c r="A48" s="55" t="s">
        <v>202</v>
      </c>
      <c r="B48" s="55"/>
      <c r="C48" s="55"/>
      <c r="D48" s="55"/>
      <c r="E48" s="55"/>
      <c r="F48" s="55"/>
      <c r="G48" s="55"/>
      <c r="H48" s="140" t="s">
        <v>194</v>
      </c>
      <c r="I48" s="55"/>
      <c r="J48" s="115"/>
      <c r="K48" s="55"/>
      <c r="L48" s="109">
        <v>504234.65</v>
      </c>
      <c r="M48" s="109">
        <v>8736531.7100000009</v>
      </c>
    </row>
    <row r="49" spans="1:13">
      <c r="A49" s="140" t="s">
        <v>203</v>
      </c>
      <c r="B49" s="55"/>
      <c r="C49" s="55"/>
      <c r="D49" s="55"/>
      <c r="E49" s="55"/>
      <c r="F49" s="55"/>
      <c r="G49" s="55"/>
      <c r="H49" s="140" t="s">
        <v>195</v>
      </c>
      <c r="I49" s="55"/>
      <c r="J49" s="115"/>
      <c r="K49" s="55"/>
      <c r="L49" s="109">
        <v>899145</v>
      </c>
      <c r="M49" s="109">
        <v>10140</v>
      </c>
    </row>
    <row r="50" spans="1:13">
      <c r="A50" s="55"/>
      <c r="B50" s="55"/>
      <c r="C50" s="55"/>
      <c r="D50" s="55"/>
      <c r="E50" s="121"/>
      <c r="F50" s="55"/>
      <c r="G50" s="55"/>
      <c r="H50" s="55"/>
      <c r="I50" s="55"/>
      <c r="J50" s="115"/>
      <c r="K50" s="55"/>
      <c r="L50" s="109">
        <v>1087927.3999999999</v>
      </c>
      <c r="M50" s="109">
        <f>SUM(M47:M49)</f>
        <v>10644424.82</v>
      </c>
    </row>
    <row r="51" spans="1:13">
      <c r="A51" s="55"/>
      <c r="B51" s="55"/>
      <c r="C51" s="55"/>
      <c r="D51" s="55"/>
      <c r="E51" s="115"/>
      <c r="F51" s="55"/>
      <c r="G51" s="55"/>
      <c r="H51" s="55"/>
      <c r="I51" s="115"/>
      <c r="J51" s="115"/>
      <c r="K51" s="55"/>
      <c r="L51" s="109">
        <v>2896515.5</v>
      </c>
    </row>
    <row r="52" spans="1:13">
      <c r="A52" s="55"/>
      <c r="B52" s="55"/>
      <c r="C52" s="55"/>
      <c r="D52" s="55"/>
      <c r="E52" s="55"/>
      <c r="F52" s="55"/>
      <c r="G52" s="55"/>
      <c r="H52" s="55"/>
      <c r="I52" s="115"/>
      <c r="J52" s="115"/>
      <c r="K52" s="55"/>
      <c r="L52" s="109">
        <v>120000</v>
      </c>
    </row>
    <row r="53" spans="1:13">
      <c r="I53" s="109"/>
      <c r="M53" s="46"/>
    </row>
    <row r="54" spans="1:13">
      <c r="F54" s="121">
        <f>F18-F55</f>
        <v>-219856.32880000025</v>
      </c>
      <c r="I54" s="109"/>
      <c r="K54" s="55"/>
      <c r="L54" s="115">
        <v>630000</v>
      </c>
      <c r="M54" s="183">
        <v>10644424.82</v>
      </c>
    </row>
    <row r="55" spans="1:13">
      <c r="F55" s="115">
        <f>49980+103610+255752.8+265335+81917.75+32889+315132+287135.25+143400+640002.5</f>
        <v>2175154.2999999998</v>
      </c>
      <c r="I55" s="109"/>
      <c r="J55" s="109">
        <v>7850000</v>
      </c>
      <c r="L55" s="109">
        <v>1000000</v>
      </c>
      <c r="M55" s="183">
        <v>13157941.960000001</v>
      </c>
    </row>
    <row r="56" spans="1:13">
      <c r="I56" s="109"/>
      <c r="J56" s="109">
        <v>800000</v>
      </c>
      <c r="L56" s="109">
        <v>1300000</v>
      </c>
      <c r="M56" s="184">
        <v>0</v>
      </c>
    </row>
    <row r="57" spans="1:13">
      <c r="I57" s="109"/>
      <c r="J57" s="109">
        <v>1200000</v>
      </c>
      <c r="L57" s="109">
        <v>2000000</v>
      </c>
      <c r="M57" s="183">
        <f>SUM(M54:M56)</f>
        <v>23802366.780000001</v>
      </c>
    </row>
    <row r="58" spans="1:13">
      <c r="I58" s="109"/>
      <c r="J58" s="109">
        <v>3500000</v>
      </c>
      <c r="L58" s="109">
        <v>150000</v>
      </c>
      <c r="M58" s="183">
        <v>24092226.780000001</v>
      </c>
    </row>
    <row r="59" spans="1:13">
      <c r="I59" s="109">
        <v>100000</v>
      </c>
      <c r="J59" s="116">
        <f>SUM(J55:J58)</f>
        <v>13350000</v>
      </c>
      <c r="L59" s="109">
        <v>4590281.96</v>
      </c>
      <c r="M59" s="183">
        <f>M58-M57</f>
        <v>289860</v>
      </c>
    </row>
    <row r="60" spans="1:13">
      <c r="I60" s="109">
        <v>4589687.1100000003</v>
      </c>
      <c r="J60" s="109">
        <v>16829861.079999998</v>
      </c>
      <c r="L60" s="109">
        <f>SUM(L54:L59)</f>
        <v>9670281.9600000009</v>
      </c>
      <c r="M60" s="46"/>
    </row>
    <row r="61" spans="1:13">
      <c r="I61" s="116">
        <f>SUM(I55:I60)</f>
        <v>4689687.1100000003</v>
      </c>
      <c r="J61" s="109">
        <f>J59-J60</f>
        <v>-3479861.0799999982</v>
      </c>
      <c r="M61" s="109">
        <v>24416573.030000001</v>
      </c>
    </row>
    <row r="62" spans="1:13">
      <c r="I62" s="109">
        <v>7212797.6100000003</v>
      </c>
      <c r="M62" s="109">
        <v>24708913.030000001</v>
      </c>
    </row>
    <row r="63" spans="1:13">
      <c r="I63" s="109">
        <f>I61-I62</f>
        <v>-2523110.5</v>
      </c>
      <c r="M63" s="109">
        <f>M61-M62</f>
        <v>-292340</v>
      </c>
    </row>
    <row r="64" spans="1:13">
      <c r="I64" s="109"/>
      <c r="M64" s="109">
        <v>289860</v>
      </c>
    </row>
    <row r="65" spans="1:13">
      <c r="I65" s="109"/>
      <c r="J65" s="109">
        <v>25346381.800000001</v>
      </c>
      <c r="M65" s="173">
        <f>SUM(M63:M64)</f>
        <v>-2480</v>
      </c>
    </row>
    <row r="66" spans="1:13">
      <c r="I66" s="109"/>
      <c r="J66" s="109">
        <v>24042658.690000001</v>
      </c>
      <c r="M66" s="46"/>
    </row>
    <row r="67" spans="1:13">
      <c r="I67" s="109"/>
      <c r="J67" s="109">
        <f>J65-J66</f>
        <v>1303723.1099999994</v>
      </c>
      <c r="L67" s="109">
        <v>400000</v>
      </c>
      <c r="M67" s="46"/>
    </row>
    <row r="68" spans="1:13">
      <c r="I68" s="109"/>
      <c r="L68" s="109">
        <v>1000000</v>
      </c>
      <c r="M68" s="109">
        <v>25279.7</v>
      </c>
    </row>
    <row r="69" spans="1:13">
      <c r="I69" s="109"/>
      <c r="M69" s="109">
        <v>27759.7</v>
      </c>
    </row>
    <row r="70" spans="1:13">
      <c r="H70" s="109"/>
      <c r="I70" s="109"/>
      <c r="M70" s="173">
        <f>M68-M69</f>
        <v>-2480</v>
      </c>
    </row>
    <row r="71" spans="1:13">
      <c r="H71" s="109">
        <v>4455551.57</v>
      </c>
      <c r="I71" s="109"/>
      <c r="J71" s="109">
        <v>17496381.800000001</v>
      </c>
      <c r="M71" s="46"/>
    </row>
    <row r="72" spans="1:13">
      <c r="H72" s="109">
        <v>5760963.6399999997</v>
      </c>
      <c r="I72" s="109"/>
      <c r="J72" s="109">
        <v>7850000</v>
      </c>
      <c r="M72" s="46"/>
    </row>
    <row r="73" spans="1:13">
      <c r="H73" s="109">
        <f>SUM(H71:H72)</f>
        <v>10216515.210000001</v>
      </c>
      <c r="I73" s="109"/>
      <c r="J73" s="109">
        <f>SUM(J71:J72)</f>
        <v>25346381.800000001</v>
      </c>
      <c r="M73" s="46"/>
    </row>
    <row r="74" spans="1:13" s="109" customFormat="1">
      <c r="A74" s="46"/>
      <c r="B74" s="46"/>
      <c r="C74" s="46"/>
      <c r="D74" s="46"/>
      <c r="E74" s="46"/>
      <c r="F74" s="46"/>
      <c r="G74" s="46"/>
    </row>
    <row r="75" spans="1:13" s="109" customFormat="1">
      <c r="A75" s="46"/>
      <c r="B75" s="46"/>
      <c r="C75" s="46"/>
      <c r="D75" s="46"/>
      <c r="E75" s="46"/>
      <c r="F75" s="46"/>
      <c r="G75" s="46"/>
    </row>
    <row r="76" spans="1:13" s="109" customFormat="1">
      <c r="A76" s="46"/>
      <c r="B76" s="46"/>
      <c r="C76" s="46"/>
      <c r="D76" s="46"/>
      <c r="E76" s="46"/>
      <c r="F76" s="46"/>
      <c r="G76" s="46"/>
    </row>
    <row r="77" spans="1:13" s="109" customFormat="1">
      <c r="A77" s="46"/>
      <c r="B77" s="46"/>
      <c r="C77" s="46"/>
      <c r="D77" s="46"/>
      <c r="E77" s="46"/>
      <c r="F77" s="46"/>
      <c r="G77" s="46"/>
    </row>
    <row r="78" spans="1:13" s="109" customFormat="1">
      <c r="A78" s="46"/>
      <c r="B78" s="46"/>
      <c r="C78" s="46"/>
      <c r="D78" s="46"/>
      <c r="E78" s="46"/>
      <c r="F78" s="46"/>
      <c r="G78" s="46"/>
    </row>
    <row r="79" spans="1:13" s="109" customFormat="1">
      <c r="A79" s="46"/>
      <c r="B79" s="46"/>
      <c r="C79" s="46"/>
      <c r="D79" s="46"/>
      <c r="E79" s="46"/>
      <c r="F79" s="46"/>
      <c r="G79" s="46"/>
    </row>
    <row r="80" spans="1:13" s="109" customFormat="1">
      <c r="A80" s="46"/>
      <c r="B80" s="46"/>
      <c r="C80" s="46"/>
      <c r="D80" s="46"/>
      <c r="E80" s="46"/>
      <c r="F80" s="46"/>
      <c r="G80" s="46"/>
      <c r="H80" s="46"/>
    </row>
    <row r="81" spans="1:11" s="109" customFormat="1">
      <c r="A81" s="46"/>
      <c r="B81" s="46"/>
      <c r="C81" s="46"/>
      <c r="D81" s="46"/>
      <c r="E81" s="46"/>
      <c r="F81" s="46"/>
      <c r="G81" s="46"/>
      <c r="H81" s="46"/>
    </row>
    <row r="82" spans="1:11" s="109" customFormat="1">
      <c r="A82" s="46"/>
      <c r="B82" s="46"/>
      <c r="C82" s="46"/>
      <c r="D82" s="46"/>
      <c r="E82" s="46"/>
      <c r="F82" s="46"/>
      <c r="G82" s="46"/>
      <c r="H82" s="46"/>
    </row>
    <row r="83" spans="1:11" s="109" customFormat="1">
      <c r="A83" s="46"/>
      <c r="B83" s="46"/>
      <c r="C83" s="46"/>
      <c r="D83" s="46"/>
      <c r="E83" s="46"/>
      <c r="F83" s="46"/>
      <c r="G83" s="46"/>
      <c r="H83" s="46"/>
    </row>
    <row r="84" spans="1:11" s="109" customFormat="1">
      <c r="A84" s="46"/>
      <c r="B84" s="46"/>
      <c r="C84" s="46"/>
      <c r="D84" s="46"/>
      <c r="E84" s="46"/>
      <c r="F84" s="46"/>
      <c r="G84" s="46"/>
      <c r="H84" s="46"/>
      <c r="K84" s="46"/>
    </row>
    <row r="85" spans="1:11" s="109" customFormat="1">
      <c r="A85" s="46"/>
      <c r="B85" s="46"/>
      <c r="C85" s="46"/>
      <c r="D85" s="46"/>
      <c r="E85" s="46"/>
      <c r="F85" s="46"/>
      <c r="G85" s="46"/>
      <c r="H85" s="46"/>
      <c r="K85" s="46"/>
    </row>
    <row r="86" spans="1:11" s="109" customFormat="1">
      <c r="A86" s="46"/>
      <c r="B86" s="46"/>
      <c r="C86" s="46"/>
      <c r="D86" s="46"/>
      <c r="E86" s="46"/>
      <c r="F86" s="46"/>
      <c r="G86" s="46"/>
      <c r="H86" s="46"/>
      <c r="K86" s="46"/>
    </row>
    <row r="87" spans="1:11" s="109" customFormat="1">
      <c r="A87" s="46"/>
      <c r="B87" s="46"/>
      <c r="C87" s="46"/>
      <c r="D87" s="46"/>
      <c r="E87" s="46"/>
      <c r="F87" s="46"/>
      <c r="G87" s="46"/>
      <c r="H87" s="46"/>
      <c r="K87" s="46"/>
    </row>
    <row r="88" spans="1:11" s="109" customFormat="1">
      <c r="A88" s="46"/>
      <c r="B88" s="46"/>
      <c r="C88" s="46"/>
      <c r="D88" s="46"/>
      <c r="E88" s="46"/>
      <c r="F88" s="46"/>
      <c r="G88" s="46"/>
      <c r="H88" s="46"/>
      <c r="K88" s="46"/>
    </row>
    <row r="89" spans="1:11" s="109" customFormat="1">
      <c r="A89" s="46"/>
      <c r="B89" s="46"/>
      <c r="C89" s="46"/>
      <c r="D89" s="46"/>
      <c r="E89" s="46"/>
      <c r="F89" s="46"/>
      <c r="G89" s="46"/>
      <c r="H89" s="46"/>
      <c r="K89" s="46"/>
    </row>
    <row r="90" spans="1:11" s="109" customFormat="1">
      <c r="A90" s="46"/>
      <c r="B90" s="46"/>
      <c r="C90" s="46"/>
      <c r="D90" s="46"/>
      <c r="E90" s="46"/>
      <c r="F90" s="46"/>
      <c r="G90" s="46"/>
      <c r="H90" s="46"/>
      <c r="K90" s="46"/>
    </row>
    <row r="91" spans="1:11" s="109" customFormat="1">
      <c r="A91" s="46"/>
      <c r="B91" s="46"/>
      <c r="C91" s="46"/>
      <c r="D91" s="46"/>
      <c r="E91" s="46"/>
      <c r="F91" s="46"/>
      <c r="G91" s="46"/>
      <c r="H91" s="46"/>
      <c r="K91" s="46"/>
    </row>
    <row r="92" spans="1:11" s="109" customFormat="1">
      <c r="A92" s="46"/>
      <c r="B92" s="46"/>
      <c r="C92" s="46"/>
      <c r="D92" s="46"/>
      <c r="E92" s="46"/>
      <c r="F92" s="46"/>
      <c r="G92" s="46"/>
      <c r="H92" s="46"/>
      <c r="K92" s="46"/>
    </row>
    <row r="93" spans="1:11" s="109" customFormat="1">
      <c r="A93" s="46"/>
      <c r="B93" s="46"/>
      <c r="C93" s="46"/>
      <c r="D93" s="46"/>
      <c r="E93" s="46"/>
      <c r="F93" s="46"/>
      <c r="G93" s="46"/>
      <c r="H93" s="46"/>
      <c r="K93" s="46"/>
    </row>
    <row r="94" spans="1:11" s="109" customFormat="1">
      <c r="A94" s="46"/>
      <c r="B94" s="46"/>
      <c r="C94" s="46"/>
      <c r="D94" s="46"/>
      <c r="E94" s="46"/>
      <c r="F94" s="46"/>
      <c r="G94" s="46"/>
      <c r="H94" s="46"/>
      <c r="K94" s="46"/>
    </row>
    <row r="95" spans="1:11" s="109" customFormat="1">
      <c r="A95" s="46"/>
      <c r="B95" s="46"/>
      <c r="C95" s="46"/>
      <c r="D95" s="46"/>
      <c r="E95" s="46"/>
      <c r="F95" s="46"/>
      <c r="G95" s="46"/>
      <c r="H95" s="46"/>
      <c r="K95" s="46"/>
    </row>
    <row r="96" spans="1:11" s="109" customFormat="1">
      <c r="A96" s="46"/>
      <c r="B96" s="46"/>
      <c r="C96" s="46"/>
      <c r="D96" s="46"/>
      <c r="E96" s="46"/>
      <c r="F96" s="46"/>
      <c r="G96" s="46"/>
      <c r="H96" s="46"/>
      <c r="K96" s="46"/>
    </row>
    <row r="97" spans="1:11" s="109" customFormat="1">
      <c r="A97" s="46"/>
      <c r="B97" s="46"/>
      <c r="C97" s="46"/>
      <c r="D97" s="46"/>
      <c r="E97" s="46"/>
      <c r="F97" s="46"/>
      <c r="G97" s="46"/>
      <c r="H97" s="46"/>
      <c r="K97" s="46"/>
    </row>
    <row r="98" spans="1:11" s="109" customFormat="1">
      <c r="A98" s="46"/>
      <c r="B98" s="46"/>
      <c r="C98" s="46"/>
      <c r="D98" s="46"/>
      <c r="E98" s="46"/>
      <c r="F98" s="46"/>
      <c r="G98" s="46"/>
      <c r="H98" s="46"/>
      <c r="K98" s="46"/>
    </row>
    <row r="99" spans="1:11" s="109" customFormat="1">
      <c r="A99" s="46"/>
      <c r="B99" s="46"/>
      <c r="C99" s="46"/>
      <c r="D99" s="46"/>
      <c r="E99" s="46"/>
      <c r="F99" s="46"/>
      <c r="G99" s="46"/>
      <c r="H99" s="46"/>
      <c r="K99" s="46"/>
    </row>
    <row r="100" spans="1:11" s="109" customFormat="1">
      <c r="A100" s="46"/>
      <c r="B100" s="46"/>
      <c r="C100" s="46"/>
      <c r="D100" s="46"/>
      <c r="E100" s="46"/>
      <c r="F100" s="46"/>
      <c r="G100" s="46"/>
      <c r="H100" s="46"/>
      <c r="K100" s="46"/>
    </row>
    <row r="101" spans="1:11" s="109" customFormat="1">
      <c r="A101" s="46"/>
      <c r="B101" s="46"/>
      <c r="C101" s="46"/>
      <c r="D101" s="46"/>
      <c r="E101" s="46"/>
      <c r="F101" s="46"/>
      <c r="G101" s="46"/>
      <c r="H101" s="46"/>
      <c r="K101" s="46"/>
    </row>
    <row r="102" spans="1:11" s="109" customFormat="1">
      <c r="A102" s="46"/>
      <c r="B102" s="46"/>
      <c r="C102" s="46"/>
      <c r="D102" s="46"/>
      <c r="E102" s="46"/>
      <c r="F102" s="46"/>
      <c r="G102" s="46"/>
      <c r="H102" s="46"/>
      <c r="K102" s="46"/>
    </row>
    <row r="103" spans="1:11" s="109" customFormat="1">
      <c r="A103" s="46"/>
      <c r="B103" s="46"/>
      <c r="C103" s="46"/>
      <c r="D103" s="46"/>
      <c r="E103" s="46"/>
      <c r="F103" s="46"/>
      <c r="G103" s="46"/>
      <c r="H103" s="46"/>
      <c r="K103" s="46"/>
    </row>
    <row r="104" spans="1:11" s="109" customFormat="1">
      <c r="A104" s="46"/>
      <c r="B104" s="46"/>
      <c r="C104" s="46"/>
      <c r="D104" s="46"/>
      <c r="E104" s="46"/>
      <c r="F104" s="46"/>
      <c r="G104" s="46"/>
      <c r="H104" s="46"/>
      <c r="K104" s="46"/>
    </row>
    <row r="105" spans="1:11" s="109" customFormat="1">
      <c r="A105" s="46"/>
      <c r="B105" s="46"/>
      <c r="C105" s="46"/>
      <c r="D105" s="46"/>
      <c r="E105" s="46"/>
      <c r="F105" s="46"/>
      <c r="G105" s="46"/>
      <c r="H105" s="46"/>
      <c r="K105" s="46"/>
    </row>
    <row r="106" spans="1:11" s="109" customFormat="1">
      <c r="A106" s="46"/>
      <c r="B106" s="46"/>
      <c r="C106" s="46"/>
      <c r="D106" s="46"/>
      <c r="E106" s="46"/>
      <c r="F106" s="46"/>
      <c r="G106" s="46"/>
      <c r="H106" s="46"/>
      <c r="K106" s="46"/>
    </row>
    <row r="107" spans="1:11" s="109" customFormat="1">
      <c r="A107" s="46"/>
      <c r="B107" s="46"/>
      <c r="C107" s="46"/>
      <c r="D107" s="46"/>
      <c r="E107" s="46"/>
      <c r="F107" s="46"/>
      <c r="G107" s="46"/>
      <c r="H107" s="46"/>
      <c r="K107" s="46"/>
    </row>
    <row r="108" spans="1:11" s="109" customFormat="1">
      <c r="A108" s="46"/>
      <c r="B108" s="46"/>
      <c r="C108" s="46"/>
      <c r="D108" s="46"/>
      <c r="E108" s="46"/>
      <c r="F108" s="46"/>
      <c r="G108" s="46"/>
      <c r="H108" s="46"/>
      <c r="K108" s="46"/>
    </row>
    <row r="109" spans="1:11" s="109" customFormat="1">
      <c r="A109" s="46"/>
      <c r="B109" s="46"/>
      <c r="C109" s="46"/>
      <c r="D109" s="46"/>
      <c r="E109" s="46"/>
      <c r="F109" s="46"/>
      <c r="G109" s="46"/>
      <c r="H109" s="46"/>
      <c r="K109" s="46"/>
    </row>
    <row r="110" spans="1:11" s="109" customFormat="1">
      <c r="A110" s="46"/>
      <c r="B110" s="46"/>
      <c r="C110" s="46"/>
      <c r="D110" s="46"/>
      <c r="E110" s="46"/>
      <c r="F110" s="46"/>
      <c r="G110" s="46"/>
      <c r="H110" s="46"/>
      <c r="K110" s="46"/>
    </row>
    <row r="111" spans="1:11" s="109" customFormat="1">
      <c r="A111" s="46"/>
      <c r="B111" s="46"/>
      <c r="C111" s="46"/>
      <c r="D111" s="46"/>
      <c r="E111" s="46"/>
      <c r="F111" s="46"/>
      <c r="G111" s="46"/>
      <c r="H111" s="46"/>
      <c r="K111" s="46"/>
    </row>
    <row r="112" spans="1:11" s="109" customFormat="1">
      <c r="A112" s="46"/>
      <c r="B112" s="46"/>
      <c r="C112" s="46"/>
      <c r="D112" s="46"/>
      <c r="E112" s="46"/>
      <c r="F112" s="46"/>
      <c r="G112" s="46"/>
      <c r="H112" s="46"/>
      <c r="K112" s="46"/>
    </row>
    <row r="113" spans="1:11" s="109" customFormat="1">
      <c r="A113" s="46"/>
      <c r="B113" s="46"/>
      <c r="C113" s="46"/>
      <c r="D113" s="46"/>
      <c r="E113" s="46"/>
      <c r="F113" s="46"/>
      <c r="G113" s="46"/>
      <c r="H113" s="46"/>
      <c r="K113" s="46"/>
    </row>
    <row r="114" spans="1:11" s="109" customFormat="1">
      <c r="A114" s="46"/>
      <c r="B114" s="46"/>
      <c r="C114" s="46"/>
      <c r="D114" s="46"/>
      <c r="E114" s="46"/>
      <c r="F114" s="46"/>
      <c r="G114" s="46"/>
      <c r="H114" s="46"/>
      <c r="K114" s="46"/>
    </row>
    <row r="115" spans="1:11" s="109" customFormat="1">
      <c r="A115" s="46"/>
      <c r="B115" s="46"/>
      <c r="C115" s="46"/>
      <c r="D115" s="46"/>
      <c r="E115" s="46"/>
      <c r="F115" s="46"/>
      <c r="G115" s="46"/>
      <c r="H115" s="46"/>
      <c r="K115" s="46"/>
    </row>
    <row r="116" spans="1:11" s="109" customFormat="1">
      <c r="A116" s="46"/>
      <c r="B116" s="46"/>
      <c r="C116" s="46"/>
      <c r="D116" s="46"/>
      <c r="E116" s="46"/>
      <c r="F116" s="46"/>
      <c r="G116" s="46"/>
      <c r="H116" s="46"/>
      <c r="K116" s="46"/>
    </row>
    <row r="117" spans="1:11" s="109" customFormat="1">
      <c r="A117" s="46"/>
      <c r="B117" s="46"/>
      <c r="C117" s="46"/>
      <c r="D117" s="46"/>
      <c r="E117" s="46"/>
      <c r="F117" s="46"/>
      <c r="G117" s="46"/>
      <c r="H117" s="46"/>
      <c r="K117" s="46"/>
    </row>
    <row r="118" spans="1:11" s="109" customFormat="1">
      <c r="A118" s="46"/>
      <c r="B118" s="46"/>
      <c r="C118" s="46"/>
      <c r="D118" s="46"/>
      <c r="E118" s="46"/>
      <c r="F118" s="46"/>
      <c r="G118" s="46"/>
      <c r="H118" s="46"/>
      <c r="K118" s="46"/>
    </row>
    <row r="119" spans="1:11" s="109" customFormat="1">
      <c r="A119" s="46"/>
      <c r="B119" s="46"/>
      <c r="C119" s="46"/>
      <c r="D119" s="46"/>
      <c r="E119" s="46"/>
      <c r="F119" s="46"/>
      <c r="G119" s="46"/>
      <c r="H119" s="46"/>
      <c r="K119" s="46"/>
    </row>
    <row r="120" spans="1:11" s="109" customFormat="1">
      <c r="A120" s="46"/>
      <c r="B120" s="46"/>
      <c r="C120" s="46"/>
      <c r="D120" s="46"/>
      <c r="E120" s="46"/>
      <c r="F120" s="46"/>
      <c r="G120" s="46"/>
      <c r="H120" s="46"/>
      <c r="K120" s="46"/>
    </row>
    <row r="121" spans="1:11" s="109" customFormat="1">
      <c r="A121" s="46"/>
      <c r="B121" s="46"/>
      <c r="C121" s="46"/>
      <c r="D121" s="46"/>
      <c r="E121" s="46"/>
      <c r="F121" s="46"/>
      <c r="G121" s="46"/>
      <c r="H121" s="46"/>
      <c r="K121" s="46"/>
    </row>
    <row r="122" spans="1:11" s="109" customFormat="1">
      <c r="A122" s="46"/>
      <c r="B122" s="46"/>
      <c r="C122" s="46"/>
      <c r="D122" s="46"/>
      <c r="E122" s="46"/>
      <c r="F122" s="46"/>
      <c r="G122" s="46"/>
      <c r="H122" s="46"/>
      <c r="K122" s="46"/>
    </row>
    <row r="123" spans="1:11" s="109" customFormat="1">
      <c r="A123" s="46"/>
      <c r="B123" s="46"/>
      <c r="C123" s="46"/>
      <c r="D123" s="46"/>
      <c r="E123" s="46"/>
      <c r="F123" s="46"/>
      <c r="G123" s="46"/>
      <c r="H123" s="46"/>
      <c r="K123" s="46"/>
    </row>
    <row r="124" spans="1:11" s="109" customFormat="1">
      <c r="A124" s="46"/>
      <c r="B124" s="46"/>
      <c r="C124" s="46"/>
      <c r="D124" s="46"/>
      <c r="E124" s="46"/>
      <c r="F124" s="46"/>
      <c r="G124" s="46"/>
      <c r="H124" s="46"/>
      <c r="K124" s="46"/>
    </row>
    <row r="125" spans="1:11" s="109" customFormat="1">
      <c r="A125" s="46"/>
      <c r="B125" s="46"/>
      <c r="C125" s="46"/>
      <c r="D125" s="46"/>
      <c r="E125" s="46"/>
      <c r="F125" s="46"/>
      <c r="G125" s="46"/>
      <c r="H125" s="46"/>
      <c r="K125" s="46"/>
    </row>
    <row r="126" spans="1:11" s="109" customFormat="1">
      <c r="A126" s="46"/>
      <c r="B126" s="46"/>
      <c r="C126" s="46"/>
      <c r="D126" s="46"/>
      <c r="E126" s="46"/>
      <c r="F126" s="46"/>
      <c r="G126" s="46"/>
      <c r="H126" s="46"/>
      <c r="K126" s="46"/>
    </row>
    <row r="127" spans="1:11" s="109" customFormat="1">
      <c r="A127" s="46"/>
      <c r="B127" s="46"/>
      <c r="C127" s="46"/>
      <c r="D127" s="46"/>
      <c r="E127" s="46"/>
      <c r="F127" s="46"/>
      <c r="G127" s="46"/>
      <c r="H127" s="46"/>
      <c r="K127" s="46"/>
    </row>
    <row r="128" spans="1:11" s="109" customFormat="1">
      <c r="A128" s="46"/>
      <c r="B128" s="46"/>
      <c r="C128" s="46"/>
      <c r="D128" s="46"/>
      <c r="E128" s="46"/>
      <c r="F128" s="46"/>
      <c r="G128" s="46"/>
      <c r="H128" s="46"/>
      <c r="K128" s="46"/>
    </row>
    <row r="129" spans="1:11" s="109" customFormat="1">
      <c r="A129" s="46"/>
      <c r="B129" s="46"/>
      <c r="C129" s="46"/>
      <c r="D129" s="46"/>
      <c r="E129" s="46"/>
      <c r="F129" s="46"/>
      <c r="G129" s="46"/>
      <c r="H129" s="46"/>
      <c r="K129" s="46"/>
    </row>
    <row r="130" spans="1:11" s="109" customFormat="1">
      <c r="A130" s="46"/>
      <c r="B130" s="46"/>
      <c r="C130" s="46"/>
      <c r="D130" s="46"/>
      <c r="E130" s="46"/>
      <c r="F130" s="46"/>
      <c r="G130" s="46"/>
      <c r="H130" s="46"/>
      <c r="K130" s="46"/>
    </row>
    <row r="131" spans="1:11" s="109" customFormat="1">
      <c r="A131" s="46"/>
      <c r="B131" s="46"/>
      <c r="C131" s="46"/>
      <c r="D131" s="46"/>
      <c r="E131" s="46"/>
      <c r="F131" s="46"/>
      <c r="G131" s="46"/>
      <c r="H131" s="46"/>
      <c r="K131" s="46"/>
    </row>
    <row r="132" spans="1:11" s="109" customFormat="1">
      <c r="A132" s="46"/>
      <c r="B132" s="46"/>
      <c r="C132" s="46"/>
      <c r="D132" s="46"/>
      <c r="E132" s="46"/>
      <c r="F132" s="46"/>
      <c r="G132" s="46"/>
      <c r="H132" s="46"/>
      <c r="K132" s="46"/>
    </row>
    <row r="133" spans="1:11" s="109" customFormat="1">
      <c r="A133" s="46"/>
      <c r="B133" s="46"/>
      <c r="C133" s="46"/>
      <c r="D133" s="46"/>
      <c r="E133" s="46"/>
      <c r="F133" s="46"/>
      <c r="G133" s="46"/>
      <c r="H133" s="46"/>
      <c r="K133" s="46"/>
    </row>
    <row r="134" spans="1:11" s="109" customFormat="1">
      <c r="A134" s="46"/>
      <c r="B134" s="46"/>
      <c r="C134" s="46"/>
      <c r="D134" s="46"/>
      <c r="E134" s="46"/>
      <c r="F134" s="46"/>
      <c r="G134" s="46"/>
      <c r="H134" s="46"/>
      <c r="K134" s="46"/>
    </row>
    <row r="135" spans="1:11" s="109" customFormat="1">
      <c r="A135" s="46"/>
      <c r="B135" s="46"/>
      <c r="C135" s="46"/>
      <c r="D135" s="46"/>
      <c r="E135" s="46"/>
      <c r="F135" s="46"/>
      <c r="G135" s="46"/>
      <c r="H135" s="46"/>
      <c r="K135" s="46"/>
    </row>
    <row r="136" spans="1:11" s="109" customFormat="1">
      <c r="A136" s="46"/>
      <c r="B136" s="46"/>
      <c r="C136" s="46"/>
      <c r="D136" s="46"/>
      <c r="E136" s="46"/>
      <c r="F136" s="46"/>
      <c r="G136" s="46"/>
      <c r="H136" s="46"/>
      <c r="K136" s="46"/>
    </row>
    <row r="137" spans="1:11" s="109" customFormat="1">
      <c r="A137" s="46"/>
      <c r="B137" s="46"/>
      <c r="C137" s="46"/>
      <c r="D137" s="46"/>
      <c r="E137" s="46"/>
      <c r="F137" s="46"/>
      <c r="G137" s="46"/>
      <c r="H137" s="46"/>
      <c r="K137" s="46"/>
    </row>
    <row r="138" spans="1:11" s="109" customFormat="1">
      <c r="A138" s="46"/>
      <c r="B138" s="46"/>
      <c r="C138" s="46"/>
      <c r="D138" s="46"/>
      <c r="E138" s="46"/>
      <c r="F138" s="46"/>
      <c r="G138" s="46"/>
      <c r="H138" s="46"/>
      <c r="K138" s="46"/>
    </row>
    <row r="139" spans="1:11" s="109" customFormat="1">
      <c r="A139" s="46"/>
      <c r="B139" s="46"/>
      <c r="C139" s="46"/>
      <c r="D139" s="46"/>
      <c r="E139" s="46"/>
      <c r="F139" s="46"/>
      <c r="G139" s="46"/>
      <c r="H139" s="46"/>
      <c r="K139" s="46"/>
    </row>
    <row r="140" spans="1:11" s="109" customFormat="1">
      <c r="A140" s="46"/>
      <c r="B140" s="46"/>
      <c r="C140" s="46"/>
      <c r="D140" s="46"/>
      <c r="E140" s="46"/>
      <c r="F140" s="46"/>
      <c r="G140" s="46"/>
      <c r="H140" s="46"/>
      <c r="K140" s="46"/>
    </row>
    <row r="141" spans="1:11" s="109" customFormat="1">
      <c r="A141" s="46"/>
      <c r="B141" s="46"/>
      <c r="C141" s="46"/>
      <c r="D141" s="46"/>
      <c r="E141" s="46"/>
      <c r="F141" s="46"/>
      <c r="G141" s="46"/>
      <c r="H141" s="46"/>
      <c r="K141" s="46"/>
    </row>
    <row r="142" spans="1:11" s="109" customFormat="1">
      <c r="A142" s="46"/>
      <c r="B142" s="46"/>
      <c r="C142" s="46"/>
      <c r="D142" s="46"/>
      <c r="E142" s="46"/>
      <c r="F142" s="46"/>
      <c r="G142" s="46"/>
      <c r="H142" s="46"/>
      <c r="K142" s="46"/>
    </row>
    <row r="143" spans="1:11" s="109" customFormat="1">
      <c r="A143" s="46"/>
      <c r="B143" s="46"/>
      <c r="C143" s="46"/>
      <c r="D143" s="46"/>
      <c r="E143" s="46"/>
      <c r="F143" s="46"/>
      <c r="G143" s="46"/>
      <c r="H143" s="46"/>
      <c r="K143" s="46"/>
    </row>
    <row r="144" spans="1:11" s="109" customFormat="1">
      <c r="A144" s="46"/>
      <c r="B144" s="46"/>
      <c r="C144" s="46"/>
      <c r="D144" s="46"/>
      <c r="E144" s="46"/>
      <c r="F144" s="46"/>
      <c r="G144" s="46"/>
      <c r="H144" s="46"/>
      <c r="K144" s="46"/>
    </row>
    <row r="145" spans="1:11" s="109" customFormat="1">
      <c r="A145" s="46"/>
      <c r="B145" s="46"/>
      <c r="C145" s="46"/>
      <c r="D145" s="46"/>
      <c r="E145" s="46"/>
      <c r="F145" s="46"/>
      <c r="G145" s="46"/>
      <c r="H145" s="46"/>
      <c r="K145" s="46"/>
    </row>
    <row r="146" spans="1:11" s="109" customFormat="1">
      <c r="A146" s="46"/>
      <c r="B146" s="46"/>
      <c r="C146" s="46"/>
      <c r="D146" s="46"/>
      <c r="E146" s="46"/>
      <c r="F146" s="46"/>
      <c r="G146" s="46"/>
      <c r="H146" s="46"/>
      <c r="K146" s="46"/>
    </row>
    <row r="147" spans="1:11" s="109" customFormat="1">
      <c r="A147" s="46"/>
      <c r="B147" s="46"/>
      <c r="C147" s="46"/>
      <c r="D147" s="46"/>
      <c r="E147" s="46"/>
      <c r="F147" s="46"/>
      <c r="G147" s="46"/>
      <c r="H147" s="46"/>
      <c r="K147" s="46"/>
    </row>
    <row r="148" spans="1:11" s="109" customFormat="1">
      <c r="A148" s="46"/>
      <c r="B148" s="46"/>
      <c r="C148" s="46"/>
      <c r="D148" s="46"/>
      <c r="E148" s="46"/>
      <c r="F148" s="46"/>
      <c r="G148" s="46"/>
      <c r="H148" s="46"/>
      <c r="K148" s="46"/>
    </row>
    <row r="149" spans="1:11" s="109" customFormat="1">
      <c r="A149" s="46"/>
      <c r="B149" s="46"/>
      <c r="C149" s="46"/>
      <c r="D149" s="46"/>
      <c r="E149" s="46"/>
      <c r="F149" s="46"/>
      <c r="G149" s="46"/>
      <c r="H149" s="46"/>
      <c r="K149" s="46"/>
    </row>
    <row r="150" spans="1:11" s="109" customFormat="1">
      <c r="A150" s="46"/>
      <c r="B150" s="46"/>
      <c r="C150" s="46"/>
      <c r="D150" s="46"/>
      <c r="E150" s="46"/>
      <c r="F150" s="46"/>
      <c r="G150" s="46"/>
      <c r="H150" s="46"/>
      <c r="K150" s="46"/>
    </row>
    <row r="151" spans="1:11" s="109" customFormat="1">
      <c r="A151" s="46"/>
      <c r="B151" s="46"/>
      <c r="C151" s="46"/>
      <c r="D151" s="46"/>
      <c r="E151" s="46"/>
      <c r="F151" s="46"/>
      <c r="G151" s="46"/>
      <c r="H151" s="46"/>
      <c r="K151" s="46"/>
    </row>
    <row r="152" spans="1:11" s="109" customFormat="1">
      <c r="A152" s="46"/>
      <c r="B152" s="46"/>
      <c r="C152" s="46"/>
      <c r="D152" s="46"/>
      <c r="E152" s="46"/>
      <c r="F152" s="46"/>
      <c r="G152" s="46"/>
      <c r="H152" s="46"/>
      <c r="K152" s="46"/>
    </row>
    <row r="153" spans="1:11" s="109" customFormat="1">
      <c r="A153" s="46"/>
      <c r="B153" s="46"/>
      <c r="C153" s="46"/>
      <c r="D153" s="46"/>
      <c r="E153" s="46"/>
      <c r="F153" s="46"/>
      <c r="G153" s="46"/>
      <c r="H153" s="46"/>
      <c r="K153" s="46"/>
    </row>
    <row r="154" spans="1:11" s="109" customFormat="1">
      <c r="A154" s="46"/>
      <c r="B154" s="46"/>
      <c r="C154" s="46"/>
      <c r="D154" s="46"/>
      <c r="E154" s="46"/>
      <c r="F154" s="46"/>
      <c r="G154" s="46"/>
      <c r="H154" s="46"/>
      <c r="K154" s="46"/>
    </row>
    <row r="155" spans="1:11" s="109" customFormat="1">
      <c r="A155" s="46"/>
      <c r="B155" s="46"/>
      <c r="C155" s="46"/>
      <c r="D155" s="46"/>
      <c r="E155" s="46"/>
      <c r="F155" s="46"/>
      <c r="G155" s="46"/>
      <c r="H155" s="46"/>
      <c r="K155" s="46"/>
    </row>
    <row r="156" spans="1:11" s="109" customFormat="1">
      <c r="A156" s="46"/>
      <c r="B156" s="46"/>
      <c r="C156" s="46"/>
      <c r="D156" s="46"/>
      <c r="E156" s="46"/>
      <c r="F156" s="46"/>
      <c r="G156" s="46"/>
      <c r="H156" s="46"/>
      <c r="K156" s="46"/>
    </row>
    <row r="157" spans="1:11" s="109" customFormat="1">
      <c r="A157" s="46"/>
      <c r="B157" s="46"/>
      <c r="C157" s="46"/>
      <c r="D157" s="46"/>
      <c r="E157" s="46"/>
      <c r="F157" s="46"/>
      <c r="G157" s="46"/>
      <c r="H157" s="46"/>
      <c r="K157" s="46"/>
    </row>
    <row r="158" spans="1:11" s="109" customFormat="1">
      <c r="A158" s="46"/>
      <c r="B158" s="46"/>
      <c r="C158" s="46"/>
      <c r="D158" s="46"/>
      <c r="E158" s="46"/>
      <c r="F158" s="46"/>
      <c r="G158" s="46"/>
      <c r="H158" s="46"/>
      <c r="K158" s="46"/>
    </row>
    <row r="159" spans="1:11" s="109" customFormat="1">
      <c r="A159" s="46"/>
      <c r="B159" s="46"/>
      <c r="C159" s="46"/>
      <c r="D159" s="46"/>
      <c r="E159" s="46"/>
      <c r="F159" s="46"/>
      <c r="G159" s="46"/>
      <c r="H159" s="46"/>
      <c r="K159" s="46"/>
    </row>
    <row r="160" spans="1:11" s="109" customFormat="1">
      <c r="A160" s="46"/>
      <c r="B160" s="46"/>
      <c r="C160" s="46"/>
      <c r="D160" s="46"/>
      <c r="E160" s="46"/>
      <c r="F160" s="46"/>
      <c r="G160" s="46"/>
      <c r="H160" s="46"/>
      <c r="K160" s="46"/>
    </row>
    <row r="161" spans="1:11" s="109" customFormat="1">
      <c r="A161" s="46"/>
      <c r="B161" s="46"/>
      <c r="C161" s="46"/>
      <c r="D161" s="46"/>
      <c r="E161" s="46"/>
      <c r="F161" s="46"/>
      <c r="G161" s="46"/>
      <c r="H161" s="46"/>
      <c r="K161" s="46"/>
    </row>
    <row r="162" spans="1:11" s="109" customFormat="1">
      <c r="A162" s="46"/>
      <c r="B162" s="46"/>
      <c r="C162" s="46"/>
      <c r="D162" s="46"/>
      <c r="E162" s="46"/>
      <c r="F162" s="46"/>
      <c r="G162" s="46"/>
      <c r="H162" s="46"/>
      <c r="K162" s="46"/>
    </row>
    <row r="163" spans="1:11" s="109" customFormat="1">
      <c r="A163" s="46"/>
      <c r="B163" s="46"/>
      <c r="C163" s="46"/>
      <c r="D163" s="46"/>
      <c r="E163" s="46"/>
      <c r="F163" s="46"/>
      <c r="G163" s="46"/>
      <c r="H163" s="46"/>
      <c r="K163" s="46"/>
    </row>
    <row r="164" spans="1:11" s="109" customFormat="1">
      <c r="A164" s="46"/>
      <c r="B164" s="46"/>
      <c r="C164" s="46"/>
      <c r="D164" s="46"/>
      <c r="E164" s="46"/>
      <c r="F164" s="46"/>
      <c r="G164" s="46"/>
      <c r="H164" s="46"/>
      <c r="K164" s="46"/>
    </row>
    <row r="165" spans="1:11" s="109" customFormat="1">
      <c r="A165" s="46"/>
      <c r="B165" s="46"/>
      <c r="C165" s="46"/>
      <c r="D165" s="46"/>
      <c r="E165" s="46"/>
      <c r="F165" s="46"/>
      <c r="G165" s="46"/>
      <c r="H165" s="46"/>
      <c r="K165" s="46"/>
    </row>
    <row r="166" spans="1:11" s="109" customFormat="1">
      <c r="A166" s="46"/>
      <c r="B166" s="46"/>
      <c r="C166" s="46"/>
      <c r="D166" s="46"/>
      <c r="E166" s="46"/>
      <c r="F166" s="46"/>
      <c r="G166" s="46"/>
      <c r="H166" s="46"/>
      <c r="K166" s="46"/>
    </row>
    <row r="167" spans="1:11" s="109" customFormat="1">
      <c r="A167" s="46"/>
      <c r="B167" s="46"/>
      <c r="C167" s="46"/>
      <c r="D167" s="46"/>
      <c r="E167" s="46"/>
      <c r="F167" s="46"/>
      <c r="G167" s="46"/>
      <c r="H167" s="46"/>
      <c r="K167" s="46"/>
    </row>
    <row r="168" spans="1:11" s="109" customFormat="1">
      <c r="A168" s="46"/>
      <c r="B168" s="46"/>
      <c r="C168" s="46"/>
      <c r="D168" s="46"/>
      <c r="E168" s="46"/>
      <c r="F168" s="46"/>
      <c r="G168" s="46"/>
      <c r="H168" s="46"/>
      <c r="K168" s="46"/>
    </row>
    <row r="169" spans="1:11" s="109" customFormat="1">
      <c r="A169" s="46"/>
      <c r="B169" s="46"/>
      <c r="C169" s="46"/>
      <c r="D169" s="46"/>
      <c r="E169" s="46"/>
      <c r="F169" s="46"/>
      <c r="G169" s="46"/>
      <c r="H169" s="46"/>
      <c r="K169" s="46"/>
    </row>
    <row r="170" spans="1:11" s="109" customFormat="1">
      <c r="A170" s="46"/>
      <c r="B170" s="46"/>
      <c r="C170" s="46"/>
      <c r="D170" s="46"/>
      <c r="E170" s="46"/>
      <c r="F170" s="46"/>
      <c r="G170" s="46"/>
      <c r="H170" s="46"/>
      <c r="K170" s="46"/>
    </row>
    <row r="171" spans="1:11" s="109" customFormat="1">
      <c r="A171" s="46"/>
      <c r="B171" s="46"/>
      <c r="C171" s="46"/>
      <c r="D171" s="46"/>
      <c r="E171" s="46"/>
      <c r="F171" s="46"/>
      <c r="G171" s="46"/>
      <c r="H171" s="46"/>
      <c r="K171" s="46"/>
    </row>
    <row r="172" spans="1:11" s="109" customFormat="1">
      <c r="A172" s="46"/>
      <c r="B172" s="46"/>
      <c r="C172" s="46"/>
      <c r="D172" s="46"/>
      <c r="E172" s="46"/>
      <c r="F172" s="46"/>
      <c r="G172" s="46"/>
      <c r="H172" s="46"/>
      <c r="K172" s="46"/>
    </row>
    <row r="173" spans="1:11" s="109" customFormat="1">
      <c r="A173" s="46"/>
      <c r="B173" s="46"/>
      <c r="C173" s="46"/>
      <c r="D173" s="46"/>
      <c r="E173" s="46"/>
      <c r="F173" s="46"/>
      <c r="G173" s="46"/>
      <c r="H173" s="46"/>
      <c r="K173" s="46"/>
    </row>
    <row r="174" spans="1:11" s="109" customFormat="1">
      <c r="A174" s="46"/>
      <c r="B174" s="46"/>
      <c r="C174" s="46"/>
      <c r="D174" s="46"/>
      <c r="E174" s="46"/>
      <c r="F174" s="46"/>
      <c r="G174" s="46"/>
      <c r="H174" s="46"/>
      <c r="K174" s="46"/>
    </row>
    <row r="175" spans="1:11" s="109" customFormat="1">
      <c r="A175" s="46"/>
      <c r="B175" s="46"/>
      <c r="C175" s="46"/>
      <c r="D175" s="46"/>
      <c r="E175" s="46"/>
      <c r="F175" s="46"/>
      <c r="G175" s="46"/>
      <c r="H175" s="46"/>
      <c r="K175" s="46"/>
    </row>
    <row r="176" spans="1:11" s="109" customFormat="1">
      <c r="A176" s="46"/>
      <c r="B176" s="46"/>
      <c r="C176" s="46"/>
      <c r="D176" s="46"/>
      <c r="E176" s="46"/>
      <c r="F176" s="46"/>
      <c r="G176" s="46"/>
      <c r="H176" s="46"/>
      <c r="K176" s="46"/>
    </row>
    <row r="177" spans="1:11" s="109" customFormat="1">
      <c r="A177" s="46"/>
      <c r="B177" s="46"/>
      <c r="C177" s="46"/>
      <c r="D177" s="46"/>
      <c r="E177" s="46"/>
      <c r="F177" s="46"/>
      <c r="G177" s="46"/>
      <c r="H177" s="46"/>
      <c r="K177" s="46"/>
    </row>
    <row r="178" spans="1:11" s="109" customFormat="1">
      <c r="A178" s="46"/>
      <c r="B178" s="46"/>
      <c r="C178" s="46"/>
      <c r="D178" s="46"/>
      <c r="E178" s="46"/>
      <c r="F178" s="46"/>
      <c r="G178" s="46"/>
      <c r="H178" s="46"/>
      <c r="K178" s="46"/>
    </row>
    <row r="179" spans="1:11" s="109" customFormat="1">
      <c r="A179" s="46"/>
      <c r="B179" s="46"/>
      <c r="C179" s="46"/>
      <c r="D179" s="46"/>
      <c r="E179" s="46"/>
      <c r="F179" s="46"/>
      <c r="G179" s="46"/>
      <c r="H179" s="46"/>
      <c r="K179" s="46"/>
    </row>
    <row r="180" spans="1:11" s="109" customFormat="1">
      <c r="A180" s="46"/>
      <c r="B180" s="46"/>
      <c r="C180" s="46"/>
      <c r="D180" s="46"/>
      <c r="E180" s="46"/>
      <c r="F180" s="46"/>
      <c r="G180" s="46"/>
      <c r="H180" s="46"/>
      <c r="K180" s="46"/>
    </row>
    <row r="181" spans="1:11" s="109" customFormat="1">
      <c r="A181" s="46"/>
      <c r="B181" s="46"/>
      <c r="C181" s="46"/>
      <c r="D181" s="46"/>
      <c r="E181" s="46"/>
      <c r="F181" s="46"/>
      <c r="G181" s="46"/>
      <c r="H181" s="46"/>
      <c r="K181" s="46"/>
    </row>
    <row r="182" spans="1:11" s="109" customFormat="1">
      <c r="A182" s="46"/>
      <c r="B182" s="46"/>
      <c r="C182" s="46"/>
      <c r="D182" s="46"/>
      <c r="E182" s="46"/>
      <c r="F182" s="46"/>
      <c r="G182" s="46"/>
      <c r="H182" s="46"/>
      <c r="K182" s="46"/>
    </row>
    <row r="183" spans="1:11" s="109" customFormat="1">
      <c r="A183" s="46"/>
      <c r="B183" s="46"/>
      <c r="C183" s="46"/>
      <c r="D183" s="46"/>
      <c r="E183" s="46"/>
      <c r="F183" s="46"/>
      <c r="G183" s="46"/>
      <c r="H183" s="46"/>
      <c r="K183" s="46"/>
    </row>
    <row r="184" spans="1:11" s="109" customFormat="1">
      <c r="A184" s="46"/>
      <c r="B184" s="46"/>
      <c r="C184" s="46"/>
      <c r="D184" s="46"/>
      <c r="E184" s="46"/>
      <c r="F184" s="46"/>
      <c r="G184" s="46"/>
      <c r="H184" s="46"/>
      <c r="K184" s="46"/>
    </row>
    <row r="185" spans="1:11" s="109" customFormat="1">
      <c r="A185" s="46"/>
      <c r="B185" s="46"/>
      <c r="C185" s="46"/>
      <c r="D185" s="46"/>
      <c r="E185" s="46"/>
      <c r="F185" s="46"/>
      <c r="G185" s="46"/>
      <c r="H185" s="46"/>
      <c r="K185" s="46"/>
    </row>
    <row r="186" spans="1:11" s="109" customFormat="1">
      <c r="A186" s="46"/>
      <c r="B186" s="46"/>
      <c r="C186" s="46"/>
      <c r="D186" s="46"/>
      <c r="E186" s="46"/>
      <c r="F186" s="46"/>
      <c r="G186" s="46"/>
      <c r="H186" s="46"/>
      <c r="K186" s="46"/>
    </row>
    <row r="187" spans="1:11" s="109" customFormat="1">
      <c r="A187" s="46"/>
      <c r="B187" s="46"/>
      <c r="C187" s="46"/>
      <c r="D187" s="46"/>
      <c r="E187" s="46"/>
      <c r="F187" s="46"/>
      <c r="G187" s="46"/>
      <c r="H187" s="46"/>
      <c r="K187" s="46"/>
    </row>
    <row r="188" spans="1:11" s="109" customFormat="1">
      <c r="A188" s="46"/>
      <c r="B188" s="46"/>
      <c r="C188" s="46"/>
      <c r="D188" s="46"/>
      <c r="E188" s="46"/>
      <c r="F188" s="46"/>
      <c r="G188" s="46"/>
      <c r="H188" s="46"/>
      <c r="K188" s="46"/>
    </row>
    <row r="189" spans="1:11" s="109" customFormat="1">
      <c r="A189" s="46"/>
      <c r="B189" s="46"/>
      <c r="C189" s="46"/>
      <c r="D189" s="46"/>
      <c r="E189" s="46"/>
      <c r="F189" s="46"/>
      <c r="G189" s="46"/>
      <c r="H189" s="46"/>
      <c r="K189" s="46"/>
    </row>
    <row r="190" spans="1:11" s="109" customFormat="1">
      <c r="A190" s="46"/>
      <c r="B190" s="46"/>
      <c r="C190" s="46"/>
      <c r="D190" s="46"/>
      <c r="E190" s="46"/>
      <c r="F190" s="46"/>
      <c r="G190" s="46"/>
      <c r="H190" s="46"/>
      <c r="K190" s="46"/>
    </row>
    <row r="191" spans="1:11" s="109" customFormat="1">
      <c r="A191" s="46"/>
      <c r="B191" s="46"/>
      <c r="C191" s="46"/>
      <c r="D191" s="46"/>
      <c r="E191" s="46"/>
      <c r="F191" s="46"/>
      <c r="G191" s="46"/>
      <c r="H191" s="46"/>
      <c r="K191" s="46"/>
    </row>
    <row r="192" spans="1:11" s="109" customFormat="1">
      <c r="A192" s="46"/>
      <c r="B192" s="46"/>
      <c r="C192" s="46"/>
      <c r="D192" s="46"/>
      <c r="E192" s="46"/>
      <c r="F192" s="46"/>
      <c r="G192" s="46"/>
      <c r="H192" s="46"/>
      <c r="K192" s="46"/>
    </row>
    <row r="193" spans="1:11" s="109" customFormat="1">
      <c r="A193" s="46"/>
      <c r="B193" s="46"/>
      <c r="C193" s="46"/>
      <c r="D193" s="46"/>
      <c r="E193" s="46"/>
      <c r="F193" s="46"/>
      <c r="G193" s="46"/>
      <c r="H193" s="46"/>
      <c r="K193" s="46"/>
    </row>
    <row r="194" spans="1:11" s="109" customFormat="1">
      <c r="A194" s="46"/>
      <c r="B194" s="46"/>
      <c r="C194" s="46"/>
      <c r="D194" s="46"/>
      <c r="E194" s="46"/>
      <c r="F194" s="46"/>
      <c r="G194" s="46"/>
      <c r="H194" s="46"/>
      <c r="K194" s="46"/>
    </row>
    <row r="195" spans="1:11" s="109" customFormat="1">
      <c r="A195" s="46"/>
      <c r="B195" s="46"/>
      <c r="C195" s="46"/>
      <c r="D195" s="46"/>
      <c r="E195" s="46"/>
      <c r="F195" s="46"/>
      <c r="G195" s="46"/>
      <c r="H195" s="46"/>
      <c r="K195" s="46"/>
    </row>
    <row r="196" spans="1:11" s="109" customFormat="1">
      <c r="A196" s="46"/>
      <c r="B196" s="46"/>
      <c r="C196" s="46"/>
      <c r="D196" s="46"/>
      <c r="E196" s="46"/>
      <c r="F196" s="46"/>
      <c r="G196" s="46"/>
      <c r="H196" s="46"/>
      <c r="K196" s="46"/>
    </row>
    <row r="197" spans="1:11" s="109" customFormat="1">
      <c r="A197" s="46"/>
      <c r="B197" s="46"/>
      <c r="C197" s="46"/>
      <c r="D197" s="46"/>
      <c r="E197" s="46"/>
      <c r="F197" s="46"/>
      <c r="G197" s="46"/>
      <c r="H197" s="46"/>
      <c r="K197" s="46"/>
    </row>
    <row r="198" spans="1:11" s="109" customFormat="1">
      <c r="A198" s="46"/>
      <c r="B198" s="46"/>
      <c r="C198" s="46"/>
      <c r="D198" s="46"/>
      <c r="E198" s="46"/>
      <c r="F198" s="46"/>
      <c r="G198" s="46"/>
      <c r="H198" s="46"/>
      <c r="K198" s="46"/>
    </row>
    <row r="199" spans="1:11" s="109" customFormat="1">
      <c r="A199" s="46"/>
      <c r="B199" s="46"/>
      <c r="C199" s="46"/>
      <c r="D199" s="46"/>
      <c r="E199" s="46"/>
      <c r="F199" s="46"/>
      <c r="G199" s="46"/>
      <c r="H199" s="46"/>
      <c r="K199" s="46"/>
    </row>
    <row r="200" spans="1:11" s="109" customFormat="1">
      <c r="A200" s="46"/>
      <c r="B200" s="46"/>
      <c r="C200" s="46"/>
      <c r="D200" s="46"/>
      <c r="E200" s="46"/>
      <c r="F200" s="46"/>
      <c r="G200" s="46"/>
      <c r="H200" s="46"/>
      <c r="K200" s="46"/>
    </row>
    <row r="201" spans="1:11" s="109" customFormat="1">
      <c r="A201" s="46"/>
      <c r="B201" s="46"/>
      <c r="C201" s="46"/>
      <c r="D201" s="46"/>
      <c r="E201" s="46"/>
      <c r="F201" s="46"/>
      <c r="G201" s="46"/>
      <c r="H201" s="46"/>
      <c r="K201" s="46"/>
    </row>
    <row r="202" spans="1:11" s="109" customFormat="1">
      <c r="A202" s="46"/>
      <c r="B202" s="46"/>
      <c r="C202" s="46"/>
      <c r="D202" s="46"/>
      <c r="E202" s="46"/>
      <c r="F202" s="46"/>
      <c r="G202" s="46"/>
      <c r="H202" s="46"/>
      <c r="K202" s="46"/>
    </row>
    <row r="203" spans="1:11" s="109" customFormat="1">
      <c r="A203" s="46"/>
      <c r="B203" s="46"/>
      <c r="C203" s="46"/>
      <c r="D203" s="46"/>
      <c r="E203" s="46"/>
      <c r="F203" s="46"/>
      <c r="G203" s="46"/>
      <c r="H203" s="46"/>
      <c r="K203" s="46"/>
    </row>
    <row r="204" spans="1:11" s="109" customFormat="1">
      <c r="A204" s="46"/>
      <c r="B204" s="46"/>
      <c r="C204" s="46"/>
      <c r="D204" s="46"/>
      <c r="E204" s="46"/>
      <c r="F204" s="46"/>
      <c r="G204" s="46"/>
      <c r="H204" s="46"/>
      <c r="K204" s="46"/>
    </row>
    <row r="205" spans="1:11" s="109" customFormat="1">
      <c r="A205" s="46"/>
      <c r="B205" s="46"/>
      <c r="C205" s="46"/>
      <c r="D205" s="46"/>
      <c r="E205" s="46"/>
      <c r="F205" s="46"/>
      <c r="G205" s="46"/>
      <c r="H205" s="46"/>
      <c r="K205" s="46"/>
    </row>
    <row r="206" spans="1:11" s="109" customFormat="1">
      <c r="A206" s="46"/>
      <c r="B206" s="46"/>
      <c r="C206" s="46"/>
      <c r="D206" s="46"/>
      <c r="E206" s="46"/>
      <c r="F206" s="46"/>
      <c r="G206" s="46"/>
      <c r="H206" s="46"/>
      <c r="K206" s="46"/>
    </row>
    <row r="207" spans="1:11" s="109" customFormat="1">
      <c r="A207" s="46"/>
      <c r="B207" s="46"/>
      <c r="C207" s="46"/>
      <c r="D207" s="46"/>
      <c r="E207" s="46"/>
      <c r="F207" s="46"/>
      <c r="G207" s="46"/>
      <c r="H207" s="46"/>
      <c r="K207" s="46"/>
    </row>
    <row r="208" spans="1:11" s="109" customFormat="1">
      <c r="A208" s="46"/>
      <c r="B208" s="46"/>
      <c r="C208" s="46"/>
      <c r="D208" s="46"/>
      <c r="E208" s="46"/>
      <c r="F208" s="46"/>
      <c r="G208" s="46"/>
      <c r="H208" s="46"/>
      <c r="K208" s="46"/>
    </row>
    <row r="209" spans="1:11" s="109" customFormat="1">
      <c r="A209" s="46"/>
      <c r="B209" s="46"/>
      <c r="C209" s="46"/>
      <c r="D209" s="46"/>
      <c r="E209" s="46"/>
      <c r="F209" s="46"/>
      <c r="G209" s="46"/>
      <c r="H209" s="46"/>
      <c r="K209" s="46"/>
    </row>
    <row r="210" spans="1:11" s="109" customFormat="1">
      <c r="A210" s="46"/>
      <c r="B210" s="46"/>
      <c r="C210" s="46"/>
      <c r="D210" s="46"/>
      <c r="E210" s="46"/>
      <c r="F210" s="46"/>
      <c r="G210" s="46"/>
      <c r="H210" s="46"/>
      <c r="K210" s="46"/>
    </row>
    <row r="211" spans="1:11" s="109" customFormat="1">
      <c r="A211" s="46"/>
      <c r="B211" s="46"/>
      <c r="C211" s="46"/>
      <c r="D211" s="46"/>
      <c r="E211" s="46"/>
      <c r="F211" s="46"/>
      <c r="G211" s="46"/>
      <c r="H211" s="46"/>
      <c r="K211" s="46"/>
    </row>
    <row r="212" spans="1:11" s="109" customFormat="1">
      <c r="A212" s="46"/>
      <c r="B212" s="46"/>
      <c r="C212" s="46"/>
      <c r="D212" s="46"/>
      <c r="E212" s="46"/>
      <c r="F212" s="46"/>
      <c r="G212" s="46"/>
      <c r="H212" s="46"/>
      <c r="K212" s="46"/>
    </row>
    <row r="213" spans="1:11" s="109" customFormat="1">
      <c r="A213" s="46"/>
      <c r="B213" s="46"/>
      <c r="C213" s="46"/>
      <c r="D213" s="46"/>
      <c r="E213" s="46"/>
      <c r="F213" s="46"/>
      <c r="G213" s="46"/>
      <c r="H213" s="46"/>
      <c r="K213" s="46"/>
    </row>
    <row r="214" spans="1:11" s="109" customFormat="1">
      <c r="A214" s="46"/>
      <c r="B214" s="46"/>
      <c r="C214" s="46"/>
      <c r="D214" s="46"/>
      <c r="E214" s="46"/>
      <c r="F214" s="46"/>
      <c r="G214" s="46"/>
      <c r="H214" s="46"/>
      <c r="K214" s="46"/>
    </row>
    <row r="215" spans="1:11" s="109" customFormat="1">
      <c r="A215" s="46"/>
      <c r="B215" s="46"/>
      <c r="C215" s="46"/>
      <c r="D215" s="46"/>
      <c r="E215" s="46"/>
      <c r="F215" s="46"/>
      <c r="G215" s="46"/>
      <c r="H215" s="46"/>
      <c r="K215" s="46"/>
    </row>
    <row r="216" spans="1:11" s="109" customFormat="1">
      <c r="A216" s="46"/>
      <c r="B216" s="46"/>
      <c r="C216" s="46"/>
      <c r="D216" s="46"/>
      <c r="E216" s="46"/>
      <c r="F216" s="46"/>
      <c r="G216" s="46"/>
      <c r="H216" s="46"/>
      <c r="K216" s="46"/>
    </row>
    <row r="217" spans="1:11" s="109" customFormat="1">
      <c r="A217" s="46"/>
      <c r="B217" s="46"/>
      <c r="C217" s="46"/>
      <c r="D217" s="46"/>
      <c r="E217" s="46"/>
      <c r="F217" s="46"/>
      <c r="G217" s="46"/>
      <c r="H217" s="46"/>
      <c r="K217" s="46"/>
    </row>
    <row r="218" spans="1:11" s="109" customFormat="1">
      <c r="A218" s="46"/>
      <c r="B218" s="46"/>
      <c r="C218" s="46"/>
      <c r="D218" s="46"/>
      <c r="E218" s="46"/>
      <c r="F218" s="46"/>
      <c r="G218" s="46"/>
      <c r="H218" s="46"/>
      <c r="K218" s="46"/>
    </row>
    <row r="219" spans="1:11" s="109" customFormat="1">
      <c r="A219" s="46"/>
      <c r="B219" s="46"/>
      <c r="C219" s="46"/>
      <c r="D219" s="46"/>
      <c r="E219" s="46"/>
      <c r="F219" s="46"/>
      <c r="G219" s="46"/>
      <c r="H219" s="46"/>
      <c r="K219" s="46"/>
    </row>
    <row r="220" spans="1:11" s="109" customFormat="1">
      <c r="A220" s="46"/>
      <c r="B220" s="46"/>
      <c r="C220" s="46"/>
      <c r="D220" s="46"/>
      <c r="E220" s="46"/>
      <c r="F220" s="46"/>
      <c r="G220" s="46"/>
      <c r="H220" s="46"/>
      <c r="K220" s="46"/>
    </row>
    <row r="221" spans="1:11" s="109" customFormat="1">
      <c r="A221" s="46"/>
      <c r="B221" s="46"/>
      <c r="C221" s="46"/>
      <c r="D221" s="46"/>
      <c r="E221" s="46"/>
      <c r="F221" s="46"/>
      <c r="G221" s="46"/>
      <c r="H221" s="46"/>
      <c r="K221" s="46"/>
    </row>
    <row r="222" spans="1:11" s="109" customFormat="1">
      <c r="A222" s="46"/>
      <c r="B222" s="46"/>
      <c r="C222" s="46"/>
      <c r="D222" s="46"/>
      <c r="E222" s="46"/>
      <c r="F222" s="46"/>
      <c r="G222" s="46"/>
      <c r="H222" s="46"/>
      <c r="K222" s="46"/>
    </row>
    <row r="223" spans="1:11" s="109" customFormat="1">
      <c r="A223" s="46"/>
      <c r="B223" s="46"/>
      <c r="C223" s="46"/>
      <c r="D223" s="46"/>
      <c r="E223" s="46"/>
      <c r="F223" s="46"/>
      <c r="G223" s="46"/>
      <c r="H223" s="46"/>
      <c r="K223" s="46"/>
    </row>
    <row r="224" spans="1:11" s="109" customFormat="1">
      <c r="A224" s="46"/>
      <c r="B224" s="46"/>
      <c r="C224" s="46"/>
      <c r="D224" s="46"/>
      <c r="E224" s="46"/>
      <c r="F224" s="46"/>
      <c r="G224" s="46"/>
      <c r="H224" s="46"/>
      <c r="K224" s="46"/>
    </row>
    <row r="225" spans="1:11" s="109" customFormat="1">
      <c r="A225" s="46"/>
      <c r="B225" s="46"/>
      <c r="C225" s="46"/>
      <c r="D225" s="46"/>
      <c r="E225" s="46"/>
      <c r="F225" s="46"/>
      <c r="G225" s="46"/>
      <c r="H225" s="46"/>
      <c r="K225" s="46"/>
    </row>
    <row r="226" spans="1:11" s="109" customFormat="1">
      <c r="A226" s="46"/>
      <c r="B226" s="46"/>
      <c r="C226" s="46"/>
      <c r="D226" s="46"/>
      <c r="E226" s="46"/>
      <c r="F226" s="46"/>
      <c r="G226" s="46"/>
      <c r="H226" s="46"/>
      <c r="K226" s="46"/>
    </row>
    <row r="227" spans="1:11" s="109" customFormat="1">
      <c r="A227" s="46"/>
      <c r="B227" s="46"/>
      <c r="C227" s="46"/>
      <c r="D227" s="46"/>
      <c r="E227" s="46"/>
      <c r="F227" s="46"/>
      <c r="G227" s="46"/>
      <c r="H227" s="46"/>
      <c r="K227" s="46"/>
    </row>
    <row r="228" spans="1:11" s="109" customFormat="1">
      <c r="A228" s="46"/>
      <c r="B228" s="46"/>
      <c r="C228" s="46"/>
      <c r="D228" s="46"/>
      <c r="E228" s="46"/>
      <c r="F228" s="46"/>
      <c r="G228" s="46"/>
      <c r="H228" s="46"/>
      <c r="K228" s="46"/>
    </row>
    <row r="229" spans="1:11" s="109" customFormat="1">
      <c r="A229" s="46"/>
      <c r="B229" s="46"/>
      <c r="C229" s="46"/>
      <c r="D229" s="46"/>
      <c r="E229" s="46"/>
      <c r="F229" s="46"/>
      <c r="G229" s="46"/>
      <c r="H229" s="46"/>
      <c r="K229" s="46"/>
    </row>
    <row r="230" spans="1:11" s="109" customFormat="1">
      <c r="A230" s="46"/>
      <c r="B230" s="46"/>
      <c r="C230" s="46"/>
      <c r="D230" s="46"/>
      <c r="E230" s="46"/>
      <c r="F230" s="46"/>
      <c r="G230" s="46"/>
      <c r="H230" s="46"/>
      <c r="K230" s="46"/>
    </row>
    <row r="231" spans="1:11" s="109" customFormat="1">
      <c r="A231" s="46"/>
      <c r="B231" s="46"/>
      <c r="C231" s="46"/>
      <c r="D231" s="46"/>
      <c r="E231" s="46"/>
      <c r="F231" s="46"/>
      <c r="G231" s="46"/>
      <c r="H231" s="46"/>
      <c r="K231" s="46"/>
    </row>
  </sheetData>
  <mergeCells count="3">
    <mergeCell ref="A2:J2"/>
    <mergeCell ref="A3:J3"/>
    <mergeCell ref="A4:J4"/>
  </mergeCells>
  <pageMargins left="0.27" right="0.15" top="0.39" bottom="0.1" header="0.21" footer="0.1"/>
  <pageSetup scale="90" orientation="portrait" horizontalDpi="300" verticalDpi="30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FF00"/>
  </sheetPr>
  <dimension ref="A1:N231"/>
  <sheetViews>
    <sheetView topLeftCell="A22" workbookViewId="0">
      <selection activeCell="E38" sqref="E38"/>
    </sheetView>
  </sheetViews>
  <sheetFormatPr defaultRowHeight="12.75"/>
  <cols>
    <col min="1" max="1" width="6" style="46" customWidth="1"/>
    <col min="2" max="3" width="9.140625" style="46"/>
    <col min="4" max="4" width="16.5703125" style="46" customWidth="1"/>
    <col min="5" max="5" width="12.42578125" style="46" customWidth="1"/>
    <col min="6" max="6" width="13.140625" style="46" customWidth="1"/>
    <col min="7" max="7" width="10" style="46" customWidth="1"/>
    <col min="8" max="8" width="11.5703125" style="46" customWidth="1"/>
    <col min="9" max="9" width="11.42578125" style="46" customWidth="1"/>
    <col min="10" max="10" width="13.28515625" style="109" customWidth="1"/>
    <col min="11" max="11" width="15.7109375" style="46" customWidth="1"/>
    <col min="12" max="12" width="16.85546875" style="109" customWidth="1"/>
    <col min="13" max="13" width="17" style="109" customWidth="1"/>
    <col min="14" max="14" width="17" style="46" customWidth="1"/>
    <col min="15" max="16384" width="9.140625" style="46"/>
  </cols>
  <sheetData>
    <row r="1" spans="1:13">
      <c r="A1" s="47"/>
      <c r="B1" s="48"/>
      <c r="C1" s="48"/>
      <c r="D1" s="48"/>
      <c r="E1" s="48"/>
      <c r="F1" s="48"/>
      <c r="G1" s="48"/>
      <c r="H1" s="48"/>
      <c r="I1" s="48"/>
      <c r="J1" s="169" t="s">
        <v>81</v>
      </c>
    </row>
    <row r="2" spans="1:13">
      <c r="A2" s="389" t="s">
        <v>80</v>
      </c>
      <c r="B2" s="390"/>
      <c r="C2" s="390"/>
      <c r="D2" s="390"/>
      <c r="E2" s="390"/>
      <c r="F2" s="390"/>
      <c r="G2" s="390"/>
      <c r="H2" s="390"/>
      <c r="I2" s="390"/>
      <c r="J2" s="391"/>
    </row>
    <row r="3" spans="1:13">
      <c r="A3" s="389" t="s">
        <v>204</v>
      </c>
      <c r="B3" s="390"/>
      <c r="C3" s="390"/>
      <c r="D3" s="390"/>
      <c r="E3" s="390"/>
      <c r="F3" s="390"/>
      <c r="G3" s="390"/>
      <c r="H3" s="390"/>
      <c r="I3" s="390"/>
      <c r="J3" s="391"/>
    </row>
    <row r="4" spans="1:13">
      <c r="A4" s="389"/>
      <c r="B4" s="390"/>
      <c r="C4" s="390"/>
      <c r="D4" s="390"/>
      <c r="E4" s="390"/>
      <c r="F4" s="390"/>
      <c r="G4" s="390"/>
      <c r="H4" s="390"/>
      <c r="I4" s="390"/>
      <c r="J4" s="391"/>
    </row>
    <row r="5" spans="1:13">
      <c r="A5" s="54" t="s">
        <v>77</v>
      </c>
      <c r="B5" s="213"/>
      <c r="C5" s="213"/>
      <c r="D5" s="213"/>
      <c r="E5" s="213"/>
      <c r="F5" s="213"/>
      <c r="G5" s="213"/>
      <c r="H5" s="213"/>
      <c r="I5" s="213"/>
      <c r="J5" s="170"/>
    </row>
    <row r="6" spans="1:13">
      <c r="A6" s="54" t="s">
        <v>76</v>
      </c>
      <c r="B6" s="55"/>
      <c r="C6" s="55"/>
      <c r="D6" s="55"/>
      <c r="E6" s="55"/>
      <c r="F6" s="55"/>
      <c r="G6" s="55"/>
      <c r="H6" s="55"/>
      <c r="I6" s="55"/>
      <c r="J6" s="171"/>
    </row>
    <row r="7" spans="1:13">
      <c r="A7" s="47"/>
      <c r="B7" s="48"/>
      <c r="C7" s="48"/>
      <c r="D7" s="49"/>
      <c r="E7" s="88" t="s">
        <v>8</v>
      </c>
      <c r="F7" s="50"/>
      <c r="G7" s="52"/>
      <c r="H7" s="52"/>
      <c r="I7" s="53"/>
      <c r="J7" s="110"/>
    </row>
    <row r="8" spans="1:13">
      <c r="A8" s="54"/>
      <c r="B8" s="55"/>
      <c r="C8" s="55"/>
      <c r="D8" s="56"/>
      <c r="E8" s="212" t="s">
        <v>9</v>
      </c>
      <c r="F8" s="53"/>
      <c r="G8" s="59"/>
      <c r="H8" s="59"/>
      <c r="I8" s="58"/>
      <c r="J8" s="111"/>
    </row>
    <row r="9" spans="1:13">
      <c r="A9" s="61" t="s">
        <v>68</v>
      </c>
      <c r="B9" s="55"/>
      <c r="C9" s="55"/>
      <c r="D9" s="56"/>
      <c r="E9" s="212" t="s">
        <v>10</v>
      </c>
      <c r="F9" s="60" t="s">
        <v>12</v>
      </c>
      <c r="G9" s="60" t="s">
        <v>14</v>
      </c>
      <c r="H9" s="60" t="s">
        <v>20</v>
      </c>
      <c r="I9" s="60" t="s">
        <v>22</v>
      </c>
      <c r="J9" s="112" t="s">
        <v>24</v>
      </c>
    </row>
    <row r="10" spans="1:13">
      <c r="A10" s="54"/>
      <c r="B10" s="55"/>
      <c r="C10" s="55"/>
      <c r="D10" s="56"/>
      <c r="E10" s="212" t="s">
        <v>11</v>
      </c>
      <c r="F10" s="60" t="s">
        <v>13</v>
      </c>
      <c r="G10" s="59"/>
      <c r="H10" s="60" t="s">
        <v>21</v>
      </c>
      <c r="I10" s="60" t="s">
        <v>23</v>
      </c>
      <c r="J10" s="111"/>
    </row>
    <row r="11" spans="1:13">
      <c r="A11" s="62"/>
      <c r="B11" s="63"/>
      <c r="C11" s="63"/>
      <c r="D11" s="64"/>
      <c r="E11" s="65">
        <v>0.3</v>
      </c>
      <c r="F11" s="66">
        <v>0.7</v>
      </c>
      <c r="G11" s="59"/>
      <c r="H11" s="67"/>
      <c r="I11" s="68"/>
      <c r="J11" s="113"/>
    </row>
    <row r="12" spans="1:13" ht="18" customHeight="1">
      <c r="A12" s="70" t="s">
        <v>0</v>
      </c>
      <c r="B12" s="71"/>
      <c r="C12" s="71"/>
      <c r="D12" s="72"/>
      <c r="E12" s="51"/>
      <c r="F12" s="51"/>
      <c r="G12" s="51"/>
      <c r="H12" s="51"/>
      <c r="I12" s="51"/>
      <c r="J12" s="110"/>
      <c r="L12" s="118" t="s">
        <v>90</v>
      </c>
      <c r="M12" s="118" t="s">
        <v>89</v>
      </c>
    </row>
    <row r="13" spans="1:13" ht="18" customHeight="1">
      <c r="A13" s="73" t="s">
        <v>1</v>
      </c>
      <c r="B13" s="72"/>
      <c r="C13" s="72"/>
      <c r="D13" s="72"/>
      <c r="E13" s="94">
        <f>M19*0.3</f>
        <v>490824.9831000003</v>
      </c>
      <c r="F13" s="94">
        <v>1145258.3</v>
      </c>
      <c r="G13" s="94"/>
      <c r="H13" s="94"/>
      <c r="I13" s="94"/>
      <c r="J13" s="275">
        <f>SUM(E13:I13)</f>
        <v>1636083.2831000003</v>
      </c>
      <c r="K13" s="175" t="e">
        <f>SUM(J13+#REF!+#REF!+#REF!+#REF!+#REF!+#REF!+#REF!+#REF!+#REF!+#REF!+#REF!)</f>
        <v>#REF!</v>
      </c>
      <c r="L13" s="109">
        <v>21367644.399999999</v>
      </c>
      <c r="M13" s="109">
        <v>4171566.4</v>
      </c>
    </row>
    <row r="14" spans="1:13" ht="18" customHeight="1">
      <c r="A14" s="73" t="s">
        <v>2</v>
      </c>
      <c r="B14" s="72"/>
      <c r="C14" s="72"/>
      <c r="D14" s="72"/>
      <c r="E14" s="102"/>
      <c r="F14" s="102"/>
      <c r="G14" s="102"/>
      <c r="H14" s="102"/>
      <c r="I14" s="102"/>
      <c r="J14" s="110">
        <f>SUM(E14:I14)</f>
        <v>0</v>
      </c>
      <c r="K14" s="117" t="s">
        <v>88</v>
      </c>
      <c r="L14" s="109">
        <v>9400000</v>
      </c>
      <c r="M14" s="109">
        <v>5637398.9699999997</v>
      </c>
    </row>
    <row r="15" spans="1:13" ht="18" customHeight="1">
      <c r="A15" s="75" t="s">
        <v>3</v>
      </c>
      <c r="B15" s="48"/>
      <c r="C15" s="48"/>
      <c r="D15" s="48"/>
      <c r="E15" s="102"/>
      <c r="F15" s="102"/>
      <c r="G15" s="102"/>
      <c r="H15" s="102"/>
      <c r="I15" s="102"/>
      <c r="J15" s="110"/>
      <c r="L15" s="116">
        <f>SUM(L13:L14)</f>
        <v>30767644.399999999</v>
      </c>
      <c r="M15" s="116">
        <f>SUM(M13:M14)</f>
        <v>9808965.3699999992</v>
      </c>
    </row>
    <row r="16" spans="1:13" ht="18" customHeight="1">
      <c r="A16" s="76" t="s">
        <v>78</v>
      </c>
      <c r="B16" s="55"/>
      <c r="C16" s="55"/>
      <c r="D16" s="55"/>
      <c r="E16" s="103"/>
      <c r="F16" s="103"/>
      <c r="G16" s="103"/>
      <c r="H16" s="103"/>
      <c r="I16" s="103"/>
      <c r="J16" s="113">
        <f>SUM(E16:I16)</f>
        <v>0</v>
      </c>
      <c r="K16" s="46">
        <v>11930281.960000001</v>
      </c>
    </row>
    <row r="17" spans="1:13" ht="18" customHeight="1">
      <c r="A17" s="77" t="s">
        <v>79</v>
      </c>
      <c r="B17" s="72"/>
      <c r="C17" s="72"/>
      <c r="D17" s="72"/>
      <c r="E17" s="94"/>
      <c r="F17" s="94"/>
      <c r="G17" s="94"/>
      <c r="H17" s="94"/>
      <c r="I17" s="94"/>
      <c r="J17" s="113">
        <f>SUM(E17:I17)</f>
        <v>0</v>
      </c>
      <c r="K17" s="173">
        <f>K16-J16</f>
        <v>11930281.960000001</v>
      </c>
      <c r="M17" s="109">
        <v>25936573.030000001</v>
      </c>
    </row>
    <row r="18" spans="1:13" ht="18" customHeight="1">
      <c r="A18" s="70" t="s">
        <v>7</v>
      </c>
      <c r="B18" s="72"/>
      <c r="C18" s="72"/>
      <c r="D18" s="72"/>
      <c r="E18" s="119">
        <f>SUM(E13:E17)</f>
        <v>490824.9831000003</v>
      </c>
      <c r="F18" s="119">
        <f t="shared" ref="F18:J18" si="0">SUM(F13:F17)</f>
        <v>1145258.3</v>
      </c>
      <c r="G18" s="119">
        <f t="shared" si="0"/>
        <v>0</v>
      </c>
      <c r="H18" s="119">
        <f t="shared" si="0"/>
        <v>0</v>
      </c>
      <c r="I18" s="119">
        <f t="shared" si="0"/>
        <v>0</v>
      </c>
      <c r="J18" s="119">
        <f t="shared" si="0"/>
        <v>1636083.2831000003</v>
      </c>
      <c r="K18" s="166">
        <f t="shared" ref="K18:K40" si="1">SUM(E18:I18)</f>
        <v>1636083.2831000003</v>
      </c>
      <c r="L18" s="193" t="s">
        <v>171</v>
      </c>
      <c r="M18" s="192">
        <f>430703881.19-397982215.65</f>
        <v>32721665.540000021</v>
      </c>
    </row>
    <row r="19" spans="1:13" s="109" customFormat="1" ht="18" customHeight="1">
      <c r="A19" s="74" t="s">
        <v>99</v>
      </c>
      <c r="B19" s="72" t="s">
        <v>100</v>
      </c>
      <c r="C19" s="72"/>
      <c r="D19" s="72"/>
      <c r="E19" s="94">
        <v>13319708.800000001</v>
      </c>
      <c r="F19" s="94">
        <v>21602319.52</v>
      </c>
      <c r="G19" s="94">
        <f>SUM('DRRM Funds June 2014'!G41)</f>
        <v>0</v>
      </c>
      <c r="H19" s="94">
        <f>SUM('DRRM Funds June 2014'!H41)</f>
        <v>10140</v>
      </c>
      <c r="I19" s="94">
        <f>SUM('DRRM Funds June 2014'!I41)</f>
        <v>0</v>
      </c>
      <c r="J19" s="94">
        <v>34932168.32</v>
      </c>
      <c r="K19" s="166">
        <f t="shared" si="1"/>
        <v>34932168.32</v>
      </c>
      <c r="L19" s="194">
        <v>0.05</v>
      </c>
      <c r="M19" s="192">
        <f>M18*0.05</f>
        <v>1636083.2770000012</v>
      </c>
    </row>
    <row r="20" spans="1:13" s="109" customFormat="1" ht="18" customHeight="1">
      <c r="A20" s="70" t="s">
        <v>101</v>
      </c>
      <c r="B20" s="122"/>
      <c r="C20" s="72"/>
      <c r="D20" s="72"/>
      <c r="E20" s="119">
        <f>SUM(E18:E19)</f>
        <v>13810533.783100002</v>
      </c>
      <c r="F20" s="119">
        <f t="shared" ref="F20:J20" si="2">SUM(F18:F19)</f>
        <v>22747577.82</v>
      </c>
      <c r="G20" s="119">
        <f t="shared" si="2"/>
        <v>0</v>
      </c>
      <c r="H20" s="119">
        <f t="shared" si="2"/>
        <v>10140</v>
      </c>
      <c r="I20" s="119">
        <f t="shared" si="2"/>
        <v>0</v>
      </c>
      <c r="J20" s="119">
        <f t="shared" si="2"/>
        <v>36568251.603100002</v>
      </c>
      <c r="K20" s="166">
        <f t="shared" si="1"/>
        <v>36568251.603100002</v>
      </c>
    </row>
    <row r="21" spans="1:13" ht="18" customHeight="1">
      <c r="A21" s="70" t="s">
        <v>15</v>
      </c>
      <c r="B21" s="72"/>
      <c r="C21" s="72"/>
      <c r="D21" s="72"/>
      <c r="E21" s="94"/>
      <c r="F21" s="94"/>
      <c r="G21" s="94"/>
      <c r="H21" s="94"/>
      <c r="I21" s="94"/>
      <c r="J21" s="111"/>
      <c r="K21" s="166">
        <f t="shared" si="1"/>
        <v>0</v>
      </c>
      <c r="M21" s="109">
        <v>26972032.48</v>
      </c>
    </row>
    <row r="22" spans="1:13" ht="18" customHeight="1">
      <c r="A22" s="78" t="s">
        <v>16</v>
      </c>
      <c r="B22" s="72"/>
      <c r="C22" s="72"/>
      <c r="D22" s="72"/>
      <c r="E22" s="94"/>
      <c r="F22" s="94"/>
      <c r="G22" s="94"/>
      <c r="H22" s="94"/>
      <c r="I22" s="94"/>
      <c r="J22" s="114">
        <f t="shared" ref="J22" si="3">SUM(E22:I22)</f>
        <v>0</v>
      </c>
      <c r="K22" s="166">
        <f t="shared" si="1"/>
        <v>0</v>
      </c>
      <c r="L22" s="176">
        <f>518731460.56*0.05</f>
        <v>25936573.028000001</v>
      </c>
      <c r="M22" s="109">
        <v>10934284.82</v>
      </c>
    </row>
    <row r="23" spans="1:13" ht="18" customHeight="1">
      <c r="A23" s="78" t="s">
        <v>70</v>
      </c>
      <c r="B23" s="72"/>
      <c r="C23" s="72"/>
      <c r="D23" s="72"/>
      <c r="E23" s="94"/>
      <c r="F23" s="94">
        <v>267886</v>
      </c>
      <c r="G23" s="94"/>
      <c r="H23" s="94"/>
      <c r="I23" s="94"/>
      <c r="J23" s="114">
        <f>SUM(E23:I23)</f>
        <v>267886</v>
      </c>
      <c r="K23" s="166">
        <f t="shared" si="1"/>
        <v>267886</v>
      </c>
      <c r="L23" s="109" t="e">
        <f>L22-K13</f>
        <v>#REF!</v>
      </c>
      <c r="M23" s="109">
        <f>M21-M22</f>
        <v>16037747.66</v>
      </c>
    </row>
    <row r="24" spans="1:13" ht="18" customHeight="1">
      <c r="A24" s="78" t="s">
        <v>71</v>
      </c>
      <c r="B24" s="72"/>
      <c r="C24" s="72"/>
      <c r="D24" s="72"/>
      <c r="E24" s="94"/>
      <c r="F24" s="94">
        <v>717221.65</v>
      </c>
      <c r="G24" s="94"/>
      <c r="H24" s="94"/>
      <c r="I24" s="94"/>
      <c r="J24" s="114">
        <f t="shared" ref="J24:J37" si="4">SUM(E24:I24)</f>
        <v>717221.65</v>
      </c>
      <c r="K24" s="166">
        <f t="shared" si="1"/>
        <v>717221.65</v>
      </c>
    </row>
    <row r="25" spans="1:13" ht="18" customHeight="1">
      <c r="A25" s="79" t="s">
        <v>91</v>
      </c>
      <c r="B25" s="72"/>
      <c r="C25" s="72"/>
      <c r="D25" s="72"/>
      <c r="E25" s="94"/>
      <c r="F25" s="94">
        <v>285305.59999999998</v>
      </c>
      <c r="G25" s="94"/>
      <c r="H25" s="94"/>
      <c r="I25" s="94"/>
      <c r="J25" s="114">
        <f t="shared" si="4"/>
        <v>285305.59999999998</v>
      </c>
      <c r="K25" s="166">
        <f t="shared" si="1"/>
        <v>285305.59999999998</v>
      </c>
    </row>
    <row r="26" spans="1:13" ht="18" customHeight="1">
      <c r="A26" s="78" t="s">
        <v>17</v>
      </c>
      <c r="B26" s="72"/>
      <c r="C26" s="72"/>
      <c r="D26" s="72"/>
      <c r="E26" s="94"/>
      <c r="F26" s="94"/>
      <c r="G26" s="94"/>
      <c r="H26" s="94"/>
      <c r="I26" s="94"/>
      <c r="J26" s="114">
        <f t="shared" si="4"/>
        <v>0</v>
      </c>
      <c r="K26" s="166">
        <f t="shared" si="1"/>
        <v>0</v>
      </c>
    </row>
    <row r="27" spans="1:13" ht="18" customHeight="1">
      <c r="A27" s="78" t="s">
        <v>18</v>
      </c>
      <c r="B27" s="72"/>
      <c r="C27" s="72"/>
      <c r="D27" s="72"/>
      <c r="E27" s="94"/>
      <c r="F27" s="94"/>
      <c r="G27" s="94"/>
      <c r="H27" s="94"/>
      <c r="I27" s="94"/>
      <c r="J27" s="114">
        <f t="shared" si="4"/>
        <v>0</v>
      </c>
      <c r="K27" s="166">
        <f t="shared" si="1"/>
        <v>0</v>
      </c>
      <c r="L27" s="118" t="s">
        <v>162</v>
      </c>
    </row>
    <row r="28" spans="1:13" ht="18" customHeight="1">
      <c r="A28" s="78" t="s">
        <v>102</v>
      </c>
      <c r="B28" s="72"/>
      <c r="C28" s="72"/>
      <c r="D28" s="72"/>
      <c r="E28" s="94"/>
      <c r="F28" s="94"/>
      <c r="G28" s="94"/>
      <c r="H28" s="94"/>
      <c r="I28" s="94"/>
      <c r="J28" s="114">
        <f t="shared" si="4"/>
        <v>0</v>
      </c>
      <c r="K28" s="166">
        <f t="shared" si="1"/>
        <v>0</v>
      </c>
      <c r="L28" s="109">
        <f>SUM(F27:F28)</f>
        <v>0</v>
      </c>
    </row>
    <row r="29" spans="1:13" ht="18" customHeight="1">
      <c r="A29" s="78" t="s">
        <v>19</v>
      </c>
      <c r="B29" s="72"/>
      <c r="C29" s="72"/>
      <c r="D29" s="72"/>
      <c r="E29" s="94"/>
      <c r="F29" s="94"/>
      <c r="G29" s="94"/>
      <c r="H29" s="94"/>
      <c r="I29" s="94"/>
      <c r="J29" s="114">
        <f t="shared" si="4"/>
        <v>0</v>
      </c>
      <c r="K29" s="166">
        <f t="shared" si="1"/>
        <v>0</v>
      </c>
      <c r="L29" s="109">
        <v>147060</v>
      </c>
    </row>
    <row r="30" spans="1:13" ht="18" customHeight="1">
      <c r="A30" s="78" t="s">
        <v>168</v>
      </c>
      <c r="B30" s="72"/>
      <c r="C30" s="72"/>
      <c r="D30" s="72"/>
      <c r="E30" s="94"/>
      <c r="F30" s="94"/>
      <c r="G30" s="94"/>
      <c r="H30" s="94"/>
      <c r="I30" s="94"/>
      <c r="J30" s="114">
        <f t="shared" si="4"/>
        <v>0</v>
      </c>
      <c r="K30" s="166">
        <f t="shared" si="1"/>
        <v>0</v>
      </c>
    </row>
    <row r="31" spans="1:13" ht="18" customHeight="1">
      <c r="A31" s="78" t="s">
        <v>98</v>
      </c>
      <c r="B31" s="72"/>
      <c r="C31" s="72"/>
      <c r="D31" s="72"/>
      <c r="E31" s="94"/>
      <c r="F31" s="94"/>
      <c r="G31" s="94"/>
      <c r="H31" s="94"/>
      <c r="I31" s="94"/>
      <c r="J31" s="114"/>
      <c r="K31" s="166">
        <f t="shared" si="1"/>
        <v>0</v>
      </c>
      <c r="L31" s="109">
        <v>1555500</v>
      </c>
    </row>
    <row r="32" spans="1:13" ht="18" customHeight="1">
      <c r="A32" s="78"/>
      <c r="B32" s="72" t="s">
        <v>5</v>
      </c>
      <c r="C32" s="72"/>
      <c r="D32" s="72"/>
      <c r="E32" s="94"/>
      <c r="F32" s="94"/>
      <c r="G32" s="94"/>
      <c r="H32" s="94"/>
      <c r="I32" s="94"/>
      <c r="J32" s="114">
        <f t="shared" si="4"/>
        <v>0</v>
      </c>
      <c r="K32" s="166">
        <f t="shared" si="1"/>
        <v>0</v>
      </c>
      <c r="L32" s="109">
        <v>229640</v>
      </c>
      <c r="M32" s="109">
        <v>2313123</v>
      </c>
    </row>
    <row r="33" spans="1:14" ht="18" customHeight="1">
      <c r="A33" s="78"/>
      <c r="B33" s="72" t="s">
        <v>97</v>
      </c>
      <c r="C33" s="72"/>
      <c r="D33" s="72"/>
      <c r="E33" s="94"/>
      <c r="F33" s="94"/>
      <c r="G33" s="94"/>
      <c r="H33" s="94"/>
      <c r="I33" s="94"/>
      <c r="J33" s="114">
        <f t="shared" si="4"/>
        <v>0</v>
      </c>
      <c r="K33" s="166">
        <f t="shared" si="1"/>
        <v>0</v>
      </c>
      <c r="L33" s="109">
        <v>2209000</v>
      </c>
    </row>
    <row r="34" spans="1:14" ht="18" customHeight="1">
      <c r="A34" s="78" t="s">
        <v>75</v>
      </c>
      <c r="B34" s="72"/>
      <c r="C34" s="72"/>
      <c r="D34" s="72"/>
      <c r="E34" s="94"/>
      <c r="F34" s="94"/>
      <c r="G34" s="94"/>
      <c r="H34" s="94"/>
      <c r="I34" s="94"/>
      <c r="J34" s="114">
        <f t="shared" si="4"/>
        <v>0</v>
      </c>
      <c r="K34" s="166">
        <f t="shared" si="1"/>
        <v>0</v>
      </c>
      <c r="L34" s="109">
        <v>173800</v>
      </c>
    </row>
    <row r="35" spans="1:14" ht="18" customHeight="1">
      <c r="A35" s="79" t="s">
        <v>94</v>
      </c>
      <c r="B35" s="72"/>
      <c r="C35" s="72"/>
      <c r="D35" s="72"/>
      <c r="E35" s="94">
        <v>9400</v>
      </c>
      <c r="F35" s="94"/>
      <c r="G35" s="94"/>
      <c r="H35" s="94"/>
      <c r="I35" s="94"/>
      <c r="J35" s="114">
        <f t="shared" si="4"/>
        <v>9400</v>
      </c>
      <c r="K35" s="166">
        <f t="shared" si="1"/>
        <v>9400</v>
      </c>
      <c r="L35" s="109">
        <v>177000</v>
      </c>
    </row>
    <row r="36" spans="1:14" ht="18" customHeight="1">
      <c r="A36" s="79" t="s">
        <v>95</v>
      </c>
      <c r="B36" s="72"/>
      <c r="C36" s="72"/>
      <c r="D36" s="72"/>
      <c r="E36" s="94"/>
      <c r="F36" s="94"/>
      <c r="G36" s="94"/>
      <c r="H36" s="94"/>
      <c r="I36" s="94"/>
      <c r="J36" s="114">
        <f t="shared" si="4"/>
        <v>0</v>
      </c>
      <c r="K36" s="166">
        <f t="shared" si="1"/>
        <v>0</v>
      </c>
      <c r="L36" s="109">
        <v>204055</v>
      </c>
    </row>
    <row r="37" spans="1:14" ht="18" customHeight="1">
      <c r="A37" s="78" t="s">
        <v>96</v>
      </c>
      <c r="B37" s="72"/>
      <c r="C37" s="72"/>
      <c r="D37" s="72"/>
      <c r="E37" s="94">
        <v>677812.29</v>
      </c>
      <c r="F37" s="94"/>
      <c r="G37" s="94"/>
      <c r="H37" s="94"/>
      <c r="I37" s="94"/>
      <c r="J37" s="114">
        <f t="shared" si="4"/>
        <v>677812.29</v>
      </c>
      <c r="K37" s="166">
        <f t="shared" si="1"/>
        <v>677812.29</v>
      </c>
      <c r="L37" s="109">
        <v>71070</v>
      </c>
    </row>
    <row r="38" spans="1:14" ht="18" customHeight="1">
      <c r="A38" s="84" t="s">
        <v>92</v>
      </c>
      <c r="B38" s="63"/>
      <c r="C38" s="63"/>
      <c r="D38" s="63"/>
      <c r="E38" s="311">
        <f t="shared" ref="E38:J38" si="5">SUM(E22:E37)</f>
        <v>687212.29</v>
      </c>
      <c r="F38" s="94">
        <f t="shared" si="5"/>
        <v>1270413.25</v>
      </c>
      <c r="G38" s="94">
        <f t="shared" si="5"/>
        <v>0</v>
      </c>
      <c r="H38" s="94">
        <f t="shared" si="5"/>
        <v>0</v>
      </c>
      <c r="I38" s="94">
        <f t="shared" si="5"/>
        <v>0</v>
      </c>
      <c r="J38" s="94">
        <f t="shared" si="5"/>
        <v>1957625.54</v>
      </c>
      <c r="K38" s="166">
        <f t="shared" si="1"/>
        <v>1957625.54</v>
      </c>
      <c r="L38" s="109">
        <v>27800</v>
      </c>
      <c r="M38" s="46"/>
    </row>
    <row r="39" spans="1:14" ht="18" customHeight="1">
      <c r="A39" s="84" t="s">
        <v>103</v>
      </c>
      <c r="B39" s="63"/>
      <c r="C39" s="63"/>
      <c r="D39" s="63"/>
      <c r="E39" s="103">
        <v>806983.95</v>
      </c>
      <c r="F39" s="103">
        <v>8254665.3099999996</v>
      </c>
      <c r="G39" s="103">
        <f>SUM('DRRM Funds June 2014'!G40)</f>
        <v>0</v>
      </c>
      <c r="H39" s="103">
        <f>SUM('DRRM Funds June 2014'!H40)</f>
        <v>0</v>
      </c>
      <c r="I39" s="103">
        <f>SUM('DRRM Funds June 2014'!I40)</f>
        <v>0</v>
      </c>
      <c r="J39" s="103">
        <v>9061649.2599999998</v>
      </c>
      <c r="K39" s="166">
        <f t="shared" si="1"/>
        <v>9061649.2599999998</v>
      </c>
      <c r="L39" s="109">
        <v>126865</v>
      </c>
      <c r="M39" s="109">
        <f>SUM(E39:H39)</f>
        <v>9061649.2599999998</v>
      </c>
    </row>
    <row r="40" spans="1:14" ht="18" customHeight="1">
      <c r="A40" s="84" t="s">
        <v>104</v>
      </c>
      <c r="B40" s="63"/>
      <c r="C40" s="63"/>
      <c r="D40" s="63"/>
      <c r="E40" s="103">
        <f>SUM(E38:E39)</f>
        <v>1494196.24</v>
      </c>
      <c r="F40" s="103">
        <f>SUM(F38:F39)</f>
        <v>9525078.5599999987</v>
      </c>
      <c r="G40" s="103">
        <f t="shared" ref="G40:J40" si="6">SUM(G38:G39)</f>
        <v>0</v>
      </c>
      <c r="H40" s="103">
        <f t="shared" si="6"/>
        <v>0</v>
      </c>
      <c r="I40" s="103">
        <f t="shared" si="6"/>
        <v>0</v>
      </c>
      <c r="J40" s="103">
        <f t="shared" si="6"/>
        <v>11019274.800000001</v>
      </c>
      <c r="K40" s="166">
        <f t="shared" si="1"/>
        <v>11019274.799999999</v>
      </c>
      <c r="L40" s="174">
        <f>SUM(L28:L39)</f>
        <v>4921790</v>
      </c>
      <c r="M40" s="109">
        <v>10492358.970000001</v>
      </c>
    </row>
    <row r="41" spans="1:14" ht="18" customHeight="1">
      <c r="A41" s="70" t="s">
        <v>93</v>
      </c>
      <c r="B41" s="72"/>
      <c r="C41" s="72"/>
      <c r="D41" s="80"/>
      <c r="E41" s="120">
        <f>E20-E38</f>
        <v>13123321.493100002</v>
      </c>
      <c r="F41" s="120">
        <f t="shared" ref="F41:J41" si="7">F20-F38</f>
        <v>21477164.57</v>
      </c>
      <c r="G41" s="120">
        <f t="shared" si="7"/>
        <v>0</v>
      </c>
      <c r="H41" s="120">
        <f t="shared" si="7"/>
        <v>10140</v>
      </c>
      <c r="I41" s="120">
        <f t="shared" si="7"/>
        <v>0</v>
      </c>
      <c r="J41" s="120">
        <f t="shared" si="7"/>
        <v>34610626.063100003</v>
      </c>
      <c r="K41" s="166">
        <f>SUM(E41:I41)</f>
        <v>34610626.063100003</v>
      </c>
      <c r="L41" s="46"/>
      <c r="M41" s="109">
        <f>M40-L40</f>
        <v>5570568.9700000007</v>
      </c>
    </row>
    <row r="42" spans="1:14" ht="18" customHeight="1">
      <c r="A42" s="55"/>
      <c r="B42" s="55"/>
      <c r="C42" s="55"/>
      <c r="D42" s="55"/>
      <c r="E42" s="55"/>
      <c r="F42" s="55"/>
      <c r="G42" s="55"/>
      <c r="H42" s="55"/>
      <c r="I42" s="55"/>
      <c r="J42" s="115" t="s">
        <v>74</v>
      </c>
      <c r="K42" s="92">
        <f>SUM(E41:F41)</f>
        <v>34600486.063100003</v>
      </c>
      <c r="M42" s="109">
        <v>0</v>
      </c>
    </row>
    <row r="43" spans="1:14" ht="18" customHeight="1">
      <c r="A43" s="55"/>
      <c r="B43" s="55"/>
      <c r="C43" s="55"/>
      <c r="D43" s="55"/>
      <c r="E43" s="55"/>
      <c r="F43" s="55"/>
      <c r="G43" s="55"/>
      <c r="H43" s="92"/>
      <c r="I43" s="55"/>
      <c r="J43" s="115"/>
      <c r="K43" s="55"/>
      <c r="M43" s="109">
        <v>289860</v>
      </c>
    </row>
    <row r="44" spans="1:14" ht="18" customHeight="1">
      <c r="A44" s="55"/>
      <c r="B44" s="55"/>
      <c r="C44" s="55"/>
      <c r="D44" s="55"/>
      <c r="E44" s="55"/>
      <c r="F44" s="55"/>
      <c r="G44" s="55"/>
      <c r="H44" s="55"/>
      <c r="I44" s="55"/>
      <c r="J44" s="115"/>
      <c r="K44" s="92">
        <f>SUM(E40:F40)</f>
        <v>11019274.799999999</v>
      </c>
      <c r="M44" s="109">
        <f>SUM(M41:M43)</f>
        <v>5860428.9700000007</v>
      </c>
      <c r="N44" s="173">
        <f>SUM(L40+M44)</f>
        <v>10782218.970000001</v>
      </c>
    </row>
    <row r="45" spans="1:14">
      <c r="A45" s="55" t="s">
        <v>83</v>
      </c>
      <c r="B45" s="55"/>
      <c r="C45" s="55"/>
      <c r="D45" s="55"/>
      <c r="E45" s="55"/>
      <c r="F45" s="55"/>
      <c r="G45" s="55"/>
      <c r="H45" s="55" t="s">
        <v>29</v>
      </c>
      <c r="I45" s="55"/>
      <c r="J45" s="115"/>
      <c r="K45" s="55"/>
      <c r="L45" s="109">
        <v>752760</v>
      </c>
    </row>
    <row r="46" spans="1:14">
      <c r="A46" s="55"/>
      <c r="B46" s="55"/>
      <c r="C46" s="55"/>
      <c r="D46" s="55"/>
      <c r="E46" s="55"/>
      <c r="F46" s="55"/>
      <c r="G46" s="55"/>
      <c r="H46" s="55"/>
      <c r="I46" s="55"/>
      <c r="J46" s="115"/>
      <c r="K46" s="55"/>
      <c r="L46" s="109">
        <v>902075</v>
      </c>
    </row>
    <row r="47" spans="1:14">
      <c r="A47" s="55"/>
      <c r="B47" s="55"/>
      <c r="C47" s="55"/>
      <c r="D47" s="55"/>
      <c r="E47" s="55"/>
      <c r="F47" s="55"/>
      <c r="G47" s="55"/>
      <c r="H47" s="172"/>
      <c r="I47" s="55"/>
      <c r="J47" s="115"/>
      <c r="K47" s="55"/>
      <c r="L47" s="109">
        <v>1032329.7</v>
      </c>
      <c r="M47" s="109">
        <v>1897753.11</v>
      </c>
    </row>
    <row r="48" spans="1:14">
      <c r="A48" s="55" t="s">
        <v>202</v>
      </c>
      <c r="B48" s="55"/>
      <c r="C48" s="55"/>
      <c r="D48" s="55"/>
      <c r="E48" s="55"/>
      <c r="F48" s="55"/>
      <c r="G48" s="55"/>
      <c r="H48" s="140" t="s">
        <v>194</v>
      </c>
      <c r="I48" s="55"/>
      <c r="J48" s="115"/>
      <c r="K48" s="55"/>
      <c r="L48" s="109">
        <v>504234.65</v>
      </c>
      <c r="M48" s="109">
        <v>8736531.7100000009</v>
      </c>
    </row>
    <row r="49" spans="1:13">
      <c r="A49" s="140" t="s">
        <v>203</v>
      </c>
      <c r="B49" s="55"/>
      <c r="C49" s="55"/>
      <c r="D49" s="55"/>
      <c r="E49" s="55"/>
      <c r="F49" s="55"/>
      <c r="G49" s="55"/>
      <c r="H49" s="140" t="s">
        <v>195</v>
      </c>
      <c r="I49" s="55"/>
      <c r="J49" s="115"/>
      <c r="K49" s="55"/>
      <c r="L49" s="109">
        <v>899145</v>
      </c>
      <c r="M49" s="109">
        <v>10140</v>
      </c>
    </row>
    <row r="50" spans="1:13">
      <c r="A50" s="55"/>
      <c r="B50" s="55"/>
      <c r="C50" s="55"/>
      <c r="D50" s="55"/>
      <c r="E50" s="121"/>
      <c r="F50" s="55"/>
      <c r="G50" s="55"/>
      <c r="H50" s="55"/>
      <c r="I50" s="55"/>
      <c r="J50" s="115"/>
      <c r="K50" s="55"/>
      <c r="L50" s="109">
        <v>1087927.3999999999</v>
      </c>
      <c r="M50" s="109">
        <f>SUM(M47:M49)</f>
        <v>10644424.82</v>
      </c>
    </row>
    <row r="51" spans="1:13">
      <c r="A51" s="55"/>
      <c r="B51" s="55"/>
      <c r="C51" s="55"/>
      <c r="D51" s="55"/>
      <c r="E51" s="115"/>
      <c r="F51" s="55"/>
      <c r="G51" s="55"/>
      <c r="H51" s="55"/>
      <c r="I51" s="115"/>
      <c r="J51" s="115"/>
      <c r="K51" s="55"/>
      <c r="L51" s="109">
        <v>2896515.5</v>
      </c>
    </row>
    <row r="52" spans="1:13">
      <c r="A52" s="55"/>
      <c r="B52" s="55"/>
      <c r="C52" s="55"/>
      <c r="D52" s="55"/>
      <c r="E52" s="55"/>
      <c r="F52" s="55"/>
      <c r="G52" s="55"/>
      <c r="H52" s="55"/>
      <c r="I52" s="115"/>
      <c r="J52" s="115"/>
      <c r="K52" s="55"/>
      <c r="L52" s="109">
        <v>120000</v>
      </c>
    </row>
    <row r="53" spans="1:13">
      <c r="I53" s="109"/>
      <c r="M53" s="46"/>
    </row>
    <row r="54" spans="1:13">
      <c r="F54" s="121">
        <f>F18-F55</f>
        <v>-1029895.9999999998</v>
      </c>
      <c r="I54" s="109"/>
      <c r="K54" s="55"/>
      <c r="L54" s="115">
        <v>630000</v>
      </c>
      <c r="M54" s="183">
        <v>10644424.82</v>
      </c>
    </row>
    <row r="55" spans="1:13">
      <c r="F55" s="115">
        <f>49980+103610+255752.8+265335+81917.75+32889+315132+287135.25+143400+640002.5</f>
        <v>2175154.2999999998</v>
      </c>
      <c r="I55" s="109"/>
      <c r="J55" s="109">
        <v>7850000</v>
      </c>
      <c r="L55" s="109">
        <v>1000000</v>
      </c>
      <c r="M55" s="183">
        <v>13157941.960000001</v>
      </c>
    </row>
    <row r="56" spans="1:13">
      <c r="I56" s="109"/>
      <c r="J56" s="109">
        <v>800000</v>
      </c>
      <c r="L56" s="109">
        <v>1300000</v>
      </c>
      <c r="M56" s="184">
        <v>0</v>
      </c>
    </row>
    <row r="57" spans="1:13">
      <c r="I57" s="109"/>
      <c r="J57" s="109">
        <v>1200000</v>
      </c>
      <c r="L57" s="109">
        <v>2000000</v>
      </c>
      <c r="M57" s="183">
        <f>SUM(M54:M56)</f>
        <v>23802366.780000001</v>
      </c>
    </row>
    <row r="58" spans="1:13">
      <c r="I58" s="109"/>
      <c r="J58" s="109">
        <v>3500000</v>
      </c>
      <c r="L58" s="109">
        <v>150000</v>
      </c>
      <c r="M58" s="183">
        <v>24092226.780000001</v>
      </c>
    </row>
    <row r="59" spans="1:13">
      <c r="I59" s="109">
        <v>100000</v>
      </c>
      <c r="J59" s="116">
        <f>SUM(J55:J58)</f>
        <v>13350000</v>
      </c>
      <c r="L59" s="109">
        <v>4590281.96</v>
      </c>
      <c r="M59" s="183">
        <f>M58-M57</f>
        <v>289860</v>
      </c>
    </row>
    <row r="60" spans="1:13">
      <c r="I60" s="109">
        <v>4589687.1100000003</v>
      </c>
      <c r="J60" s="109">
        <v>16829861.079999998</v>
      </c>
      <c r="L60" s="109">
        <f>SUM(L54:L59)</f>
        <v>9670281.9600000009</v>
      </c>
      <c r="M60" s="46"/>
    </row>
    <row r="61" spans="1:13">
      <c r="I61" s="116">
        <f>SUM(I55:I60)</f>
        <v>4689687.1100000003</v>
      </c>
      <c r="J61" s="109">
        <f>J59-J60</f>
        <v>-3479861.0799999982</v>
      </c>
      <c r="M61" s="109">
        <v>24416573.030000001</v>
      </c>
    </row>
    <row r="62" spans="1:13">
      <c r="I62" s="109">
        <v>7212797.6100000003</v>
      </c>
      <c r="M62" s="109">
        <v>24708913.030000001</v>
      </c>
    </row>
    <row r="63" spans="1:13">
      <c r="I63" s="109">
        <f>I61-I62</f>
        <v>-2523110.5</v>
      </c>
      <c r="M63" s="109">
        <f>M61-M62</f>
        <v>-292340</v>
      </c>
    </row>
    <row r="64" spans="1:13">
      <c r="I64" s="109"/>
      <c r="M64" s="109">
        <v>289860</v>
      </c>
    </row>
    <row r="65" spans="1:13">
      <c r="I65" s="109"/>
      <c r="J65" s="109">
        <v>25346381.800000001</v>
      </c>
      <c r="M65" s="173">
        <f>SUM(M63:M64)</f>
        <v>-2480</v>
      </c>
    </row>
    <row r="66" spans="1:13">
      <c r="I66" s="109"/>
      <c r="J66" s="109">
        <v>24042658.690000001</v>
      </c>
      <c r="M66" s="46"/>
    </row>
    <row r="67" spans="1:13">
      <c r="I67" s="109"/>
      <c r="J67" s="109">
        <f>J65-J66</f>
        <v>1303723.1099999994</v>
      </c>
      <c r="L67" s="109">
        <v>400000</v>
      </c>
      <c r="M67" s="46"/>
    </row>
    <row r="68" spans="1:13">
      <c r="I68" s="109"/>
      <c r="L68" s="109">
        <v>1000000</v>
      </c>
      <c r="M68" s="109">
        <v>25279.7</v>
      </c>
    </row>
    <row r="69" spans="1:13">
      <c r="I69" s="109"/>
      <c r="M69" s="109">
        <v>27759.7</v>
      </c>
    </row>
    <row r="70" spans="1:13">
      <c r="H70" s="109"/>
      <c r="I70" s="109"/>
      <c r="M70" s="173">
        <f>M68-M69</f>
        <v>-2480</v>
      </c>
    </row>
    <row r="71" spans="1:13">
      <c r="H71" s="109">
        <v>4455551.57</v>
      </c>
      <c r="I71" s="109"/>
      <c r="J71" s="109">
        <v>17496381.800000001</v>
      </c>
      <c r="M71" s="46"/>
    </row>
    <row r="72" spans="1:13">
      <c r="H72" s="109">
        <v>5760963.6399999997</v>
      </c>
      <c r="I72" s="109"/>
      <c r="J72" s="109">
        <v>7850000</v>
      </c>
      <c r="M72" s="46"/>
    </row>
    <row r="73" spans="1:13">
      <c r="H73" s="109">
        <f>SUM(H71:H72)</f>
        <v>10216515.210000001</v>
      </c>
      <c r="I73" s="109"/>
      <c r="J73" s="109">
        <f>SUM(J71:J72)</f>
        <v>25346381.800000001</v>
      </c>
      <c r="M73" s="46"/>
    </row>
    <row r="74" spans="1:13" s="109" customFormat="1">
      <c r="A74" s="46"/>
      <c r="B74" s="46"/>
      <c r="C74" s="46"/>
      <c r="D74" s="46"/>
      <c r="E74" s="46"/>
      <c r="F74" s="46"/>
      <c r="G74" s="46"/>
    </row>
    <row r="75" spans="1:13" s="109" customFormat="1">
      <c r="A75" s="46"/>
      <c r="B75" s="46"/>
      <c r="C75" s="46"/>
      <c r="D75" s="46"/>
      <c r="E75" s="46"/>
      <c r="F75" s="46"/>
      <c r="G75" s="46"/>
    </row>
    <row r="76" spans="1:13" s="109" customFormat="1">
      <c r="A76" s="46"/>
      <c r="B76" s="46"/>
      <c r="C76" s="46"/>
      <c r="D76" s="46"/>
      <c r="E76" s="46"/>
      <c r="F76" s="46"/>
      <c r="G76" s="46"/>
    </row>
    <row r="77" spans="1:13" s="109" customFormat="1">
      <c r="A77" s="46"/>
      <c r="B77" s="46"/>
      <c r="C77" s="46"/>
      <c r="D77" s="46"/>
      <c r="E77" s="46"/>
      <c r="F77" s="46"/>
      <c r="G77" s="46"/>
    </row>
    <row r="78" spans="1:13" s="109" customFormat="1">
      <c r="A78" s="46"/>
      <c r="B78" s="46"/>
      <c r="C78" s="46"/>
      <c r="D78" s="46"/>
      <c r="E78" s="46"/>
      <c r="F78" s="46"/>
      <c r="G78" s="46"/>
    </row>
    <row r="79" spans="1:13" s="109" customFormat="1">
      <c r="A79" s="46"/>
      <c r="B79" s="46"/>
      <c r="C79" s="46"/>
      <c r="D79" s="46"/>
      <c r="E79" s="46"/>
      <c r="F79" s="46"/>
      <c r="G79" s="46"/>
    </row>
    <row r="80" spans="1:13" s="109" customFormat="1">
      <c r="A80" s="46"/>
      <c r="B80" s="46"/>
      <c r="C80" s="46"/>
      <c r="D80" s="46"/>
      <c r="E80" s="46"/>
      <c r="F80" s="46"/>
      <c r="G80" s="46"/>
      <c r="H80" s="46"/>
    </row>
    <row r="81" spans="1:11" s="109" customFormat="1">
      <c r="A81" s="46"/>
      <c r="B81" s="46"/>
      <c r="C81" s="46"/>
      <c r="D81" s="46"/>
      <c r="E81" s="46"/>
      <c r="F81" s="46"/>
      <c r="G81" s="46"/>
      <c r="H81" s="46"/>
    </row>
    <row r="82" spans="1:11" s="109" customFormat="1">
      <c r="A82" s="46"/>
      <c r="B82" s="46"/>
      <c r="C82" s="46"/>
      <c r="D82" s="46"/>
      <c r="E82" s="46"/>
      <c r="F82" s="46"/>
      <c r="G82" s="46"/>
      <c r="H82" s="46"/>
    </row>
    <row r="83" spans="1:11" s="109" customFormat="1">
      <c r="A83" s="46"/>
      <c r="B83" s="46"/>
      <c r="C83" s="46"/>
      <c r="D83" s="46"/>
      <c r="E83" s="46"/>
      <c r="F83" s="46"/>
      <c r="G83" s="46"/>
      <c r="H83" s="46"/>
    </row>
    <row r="84" spans="1:11" s="109" customFormat="1">
      <c r="A84" s="46"/>
      <c r="B84" s="46"/>
      <c r="C84" s="46"/>
      <c r="D84" s="46"/>
      <c r="E84" s="46"/>
      <c r="F84" s="46"/>
      <c r="G84" s="46"/>
      <c r="H84" s="46"/>
      <c r="K84" s="46"/>
    </row>
    <row r="85" spans="1:11" s="109" customFormat="1">
      <c r="A85" s="46"/>
      <c r="B85" s="46"/>
      <c r="C85" s="46"/>
      <c r="D85" s="46"/>
      <c r="E85" s="46"/>
      <c r="F85" s="46"/>
      <c r="G85" s="46"/>
      <c r="H85" s="46"/>
      <c r="K85" s="46"/>
    </row>
    <row r="86" spans="1:11" s="109" customFormat="1">
      <c r="A86" s="46"/>
      <c r="B86" s="46"/>
      <c r="C86" s="46"/>
      <c r="D86" s="46"/>
      <c r="E86" s="46"/>
      <c r="F86" s="46"/>
      <c r="G86" s="46"/>
      <c r="H86" s="46"/>
      <c r="K86" s="46"/>
    </row>
    <row r="87" spans="1:11" s="109" customFormat="1">
      <c r="A87" s="46"/>
      <c r="B87" s="46"/>
      <c r="C87" s="46"/>
      <c r="D87" s="46"/>
      <c r="E87" s="46"/>
      <c r="F87" s="46"/>
      <c r="G87" s="46"/>
      <c r="H87" s="46"/>
      <c r="K87" s="46"/>
    </row>
    <row r="88" spans="1:11" s="109" customFormat="1">
      <c r="A88" s="46"/>
      <c r="B88" s="46"/>
      <c r="C88" s="46"/>
      <c r="D88" s="46"/>
      <c r="E88" s="46"/>
      <c r="F88" s="46"/>
      <c r="G88" s="46"/>
      <c r="H88" s="46"/>
      <c r="K88" s="46"/>
    </row>
    <row r="89" spans="1:11" s="109" customFormat="1">
      <c r="A89" s="46"/>
      <c r="B89" s="46"/>
      <c r="C89" s="46"/>
      <c r="D89" s="46"/>
      <c r="E89" s="46"/>
      <c r="F89" s="46"/>
      <c r="G89" s="46"/>
      <c r="H89" s="46"/>
      <c r="K89" s="46"/>
    </row>
    <row r="90" spans="1:11" s="109" customFormat="1">
      <c r="A90" s="46"/>
      <c r="B90" s="46"/>
      <c r="C90" s="46"/>
      <c r="D90" s="46"/>
      <c r="E90" s="46"/>
      <c r="F90" s="46"/>
      <c r="G90" s="46"/>
      <c r="H90" s="46"/>
      <c r="K90" s="46"/>
    </row>
    <row r="91" spans="1:11" s="109" customFormat="1">
      <c r="A91" s="46"/>
      <c r="B91" s="46"/>
      <c r="C91" s="46"/>
      <c r="D91" s="46"/>
      <c r="E91" s="46"/>
      <c r="F91" s="46"/>
      <c r="G91" s="46"/>
      <c r="H91" s="46"/>
      <c r="K91" s="46"/>
    </row>
    <row r="92" spans="1:11" s="109" customFormat="1">
      <c r="A92" s="46"/>
      <c r="B92" s="46"/>
      <c r="C92" s="46"/>
      <c r="D92" s="46"/>
      <c r="E92" s="46"/>
      <c r="F92" s="46"/>
      <c r="G92" s="46"/>
      <c r="H92" s="46"/>
      <c r="K92" s="46"/>
    </row>
    <row r="93" spans="1:11" s="109" customFormat="1">
      <c r="A93" s="46"/>
      <c r="B93" s="46"/>
      <c r="C93" s="46"/>
      <c r="D93" s="46"/>
      <c r="E93" s="46"/>
      <c r="F93" s="46"/>
      <c r="G93" s="46"/>
      <c r="H93" s="46"/>
      <c r="K93" s="46"/>
    </row>
    <row r="94" spans="1:11" s="109" customFormat="1">
      <c r="A94" s="46"/>
      <c r="B94" s="46"/>
      <c r="C94" s="46"/>
      <c r="D94" s="46"/>
      <c r="E94" s="46"/>
      <c r="F94" s="46"/>
      <c r="G94" s="46"/>
      <c r="H94" s="46"/>
      <c r="K94" s="46"/>
    </row>
    <row r="95" spans="1:11" s="109" customFormat="1">
      <c r="A95" s="46"/>
      <c r="B95" s="46"/>
      <c r="C95" s="46"/>
      <c r="D95" s="46"/>
      <c r="E95" s="46"/>
      <c r="F95" s="46"/>
      <c r="G95" s="46"/>
      <c r="H95" s="46"/>
      <c r="K95" s="46"/>
    </row>
    <row r="96" spans="1:11" s="109" customFormat="1">
      <c r="A96" s="46"/>
      <c r="B96" s="46"/>
      <c r="C96" s="46"/>
      <c r="D96" s="46"/>
      <c r="E96" s="46"/>
      <c r="F96" s="46"/>
      <c r="G96" s="46"/>
      <c r="H96" s="46"/>
      <c r="K96" s="46"/>
    </row>
    <row r="97" spans="1:11" s="109" customFormat="1">
      <c r="A97" s="46"/>
      <c r="B97" s="46"/>
      <c r="C97" s="46"/>
      <c r="D97" s="46"/>
      <c r="E97" s="46"/>
      <c r="F97" s="46"/>
      <c r="G97" s="46"/>
      <c r="H97" s="46"/>
      <c r="K97" s="46"/>
    </row>
    <row r="98" spans="1:11" s="109" customFormat="1">
      <c r="A98" s="46"/>
      <c r="B98" s="46"/>
      <c r="C98" s="46"/>
      <c r="D98" s="46"/>
      <c r="E98" s="46"/>
      <c r="F98" s="46"/>
      <c r="G98" s="46"/>
      <c r="H98" s="46"/>
      <c r="K98" s="46"/>
    </row>
    <row r="99" spans="1:11" s="109" customFormat="1">
      <c r="A99" s="46"/>
      <c r="B99" s="46"/>
      <c r="C99" s="46"/>
      <c r="D99" s="46"/>
      <c r="E99" s="46"/>
      <c r="F99" s="46"/>
      <c r="G99" s="46"/>
      <c r="H99" s="46"/>
      <c r="K99" s="46"/>
    </row>
    <row r="100" spans="1:11" s="109" customFormat="1">
      <c r="A100" s="46"/>
      <c r="B100" s="46"/>
      <c r="C100" s="46"/>
      <c r="D100" s="46"/>
      <c r="E100" s="46"/>
      <c r="F100" s="46"/>
      <c r="G100" s="46"/>
      <c r="H100" s="46"/>
      <c r="K100" s="46"/>
    </row>
    <row r="101" spans="1:11" s="109" customFormat="1">
      <c r="A101" s="46"/>
      <c r="B101" s="46"/>
      <c r="C101" s="46"/>
      <c r="D101" s="46"/>
      <c r="E101" s="46"/>
      <c r="F101" s="46"/>
      <c r="G101" s="46"/>
      <c r="H101" s="46"/>
      <c r="K101" s="46"/>
    </row>
    <row r="102" spans="1:11" s="109" customFormat="1">
      <c r="A102" s="46"/>
      <c r="B102" s="46"/>
      <c r="C102" s="46"/>
      <c r="D102" s="46"/>
      <c r="E102" s="46"/>
      <c r="F102" s="46"/>
      <c r="G102" s="46"/>
      <c r="H102" s="46"/>
      <c r="K102" s="46"/>
    </row>
    <row r="103" spans="1:11" s="109" customFormat="1">
      <c r="A103" s="46"/>
      <c r="B103" s="46"/>
      <c r="C103" s="46"/>
      <c r="D103" s="46"/>
      <c r="E103" s="46"/>
      <c r="F103" s="46"/>
      <c r="G103" s="46"/>
      <c r="H103" s="46"/>
      <c r="K103" s="46"/>
    </row>
    <row r="104" spans="1:11" s="109" customFormat="1">
      <c r="A104" s="46"/>
      <c r="B104" s="46"/>
      <c r="C104" s="46"/>
      <c r="D104" s="46"/>
      <c r="E104" s="46"/>
      <c r="F104" s="46"/>
      <c r="G104" s="46"/>
      <c r="H104" s="46"/>
      <c r="K104" s="46"/>
    </row>
    <row r="105" spans="1:11" s="109" customFormat="1">
      <c r="A105" s="46"/>
      <c r="B105" s="46"/>
      <c r="C105" s="46"/>
      <c r="D105" s="46"/>
      <c r="E105" s="46"/>
      <c r="F105" s="46"/>
      <c r="G105" s="46"/>
      <c r="H105" s="46"/>
      <c r="K105" s="46"/>
    </row>
    <row r="106" spans="1:11" s="109" customFormat="1">
      <c r="A106" s="46"/>
      <c r="B106" s="46"/>
      <c r="C106" s="46"/>
      <c r="D106" s="46"/>
      <c r="E106" s="46"/>
      <c r="F106" s="46"/>
      <c r="G106" s="46"/>
      <c r="H106" s="46"/>
      <c r="K106" s="46"/>
    </row>
    <row r="107" spans="1:11" s="109" customFormat="1">
      <c r="A107" s="46"/>
      <c r="B107" s="46"/>
      <c r="C107" s="46"/>
      <c r="D107" s="46"/>
      <c r="E107" s="46"/>
      <c r="F107" s="46"/>
      <c r="G107" s="46"/>
      <c r="H107" s="46"/>
      <c r="K107" s="46"/>
    </row>
    <row r="108" spans="1:11" s="109" customFormat="1">
      <c r="A108" s="46"/>
      <c r="B108" s="46"/>
      <c r="C108" s="46"/>
      <c r="D108" s="46"/>
      <c r="E108" s="46"/>
      <c r="F108" s="46"/>
      <c r="G108" s="46"/>
      <c r="H108" s="46"/>
      <c r="K108" s="46"/>
    </row>
    <row r="109" spans="1:11" s="109" customFormat="1">
      <c r="A109" s="46"/>
      <c r="B109" s="46"/>
      <c r="C109" s="46"/>
      <c r="D109" s="46"/>
      <c r="E109" s="46"/>
      <c r="F109" s="46"/>
      <c r="G109" s="46"/>
      <c r="H109" s="46"/>
      <c r="K109" s="46"/>
    </row>
    <row r="110" spans="1:11" s="109" customFormat="1">
      <c r="A110" s="46"/>
      <c r="B110" s="46"/>
      <c r="C110" s="46"/>
      <c r="D110" s="46"/>
      <c r="E110" s="46"/>
      <c r="F110" s="46"/>
      <c r="G110" s="46"/>
      <c r="H110" s="46"/>
      <c r="K110" s="46"/>
    </row>
    <row r="111" spans="1:11" s="109" customFormat="1">
      <c r="A111" s="46"/>
      <c r="B111" s="46"/>
      <c r="C111" s="46"/>
      <c r="D111" s="46"/>
      <c r="E111" s="46"/>
      <c r="F111" s="46"/>
      <c r="G111" s="46"/>
      <c r="H111" s="46"/>
      <c r="K111" s="46"/>
    </row>
    <row r="112" spans="1:11" s="109" customFormat="1">
      <c r="A112" s="46"/>
      <c r="B112" s="46"/>
      <c r="C112" s="46"/>
      <c r="D112" s="46"/>
      <c r="E112" s="46"/>
      <c r="F112" s="46"/>
      <c r="G112" s="46"/>
      <c r="H112" s="46"/>
      <c r="K112" s="46"/>
    </row>
    <row r="113" spans="1:11" s="109" customFormat="1">
      <c r="A113" s="46"/>
      <c r="B113" s="46"/>
      <c r="C113" s="46"/>
      <c r="D113" s="46"/>
      <c r="E113" s="46"/>
      <c r="F113" s="46"/>
      <c r="G113" s="46"/>
      <c r="H113" s="46"/>
      <c r="K113" s="46"/>
    </row>
    <row r="114" spans="1:11" s="109" customFormat="1">
      <c r="A114" s="46"/>
      <c r="B114" s="46"/>
      <c r="C114" s="46"/>
      <c r="D114" s="46"/>
      <c r="E114" s="46"/>
      <c r="F114" s="46"/>
      <c r="G114" s="46"/>
      <c r="H114" s="46"/>
      <c r="K114" s="46"/>
    </row>
    <row r="115" spans="1:11" s="109" customFormat="1">
      <c r="A115" s="46"/>
      <c r="B115" s="46"/>
      <c r="C115" s="46"/>
      <c r="D115" s="46"/>
      <c r="E115" s="46"/>
      <c r="F115" s="46"/>
      <c r="G115" s="46"/>
      <c r="H115" s="46"/>
      <c r="K115" s="46"/>
    </row>
    <row r="116" spans="1:11" s="109" customFormat="1">
      <c r="A116" s="46"/>
      <c r="B116" s="46"/>
      <c r="C116" s="46"/>
      <c r="D116" s="46"/>
      <c r="E116" s="46"/>
      <c r="F116" s="46"/>
      <c r="G116" s="46"/>
      <c r="H116" s="46"/>
      <c r="K116" s="46"/>
    </row>
    <row r="117" spans="1:11" s="109" customFormat="1">
      <c r="A117" s="46"/>
      <c r="B117" s="46"/>
      <c r="C117" s="46"/>
      <c r="D117" s="46"/>
      <c r="E117" s="46"/>
      <c r="F117" s="46"/>
      <c r="G117" s="46"/>
      <c r="H117" s="46"/>
      <c r="K117" s="46"/>
    </row>
    <row r="118" spans="1:11" s="109" customFormat="1">
      <c r="A118" s="46"/>
      <c r="B118" s="46"/>
      <c r="C118" s="46"/>
      <c r="D118" s="46"/>
      <c r="E118" s="46"/>
      <c r="F118" s="46"/>
      <c r="G118" s="46"/>
      <c r="H118" s="46"/>
      <c r="K118" s="46"/>
    </row>
    <row r="119" spans="1:11" s="109" customFormat="1">
      <c r="A119" s="46"/>
      <c r="B119" s="46"/>
      <c r="C119" s="46"/>
      <c r="D119" s="46"/>
      <c r="E119" s="46"/>
      <c r="F119" s="46"/>
      <c r="G119" s="46"/>
      <c r="H119" s="46"/>
      <c r="K119" s="46"/>
    </row>
    <row r="120" spans="1:11" s="109" customFormat="1">
      <c r="A120" s="46"/>
      <c r="B120" s="46"/>
      <c r="C120" s="46"/>
      <c r="D120" s="46"/>
      <c r="E120" s="46"/>
      <c r="F120" s="46"/>
      <c r="G120" s="46"/>
      <c r="H120" s="46"/>
      <c r="K120" s="46"/>
    </row>
    <row r="121" spans="1:11" s="109" customFormat="1">
      <c r="A121" s="46"/>
      <c r="B121" s="46"/>
      <c r="C121" s="46"/>
      <c r="D121" s="46"/>
      <c r="E121" s="46"/>
      <c r="F121" s="46"/>
      <c r="G121" s="46"/>
      <c r="H121" s="46"/>
      <c r="K121" s="46"/>
    </row>
    <row r="122" spans="1:11" s="109" customFormat="1">
      <c r="A122" s="46"/>
      <c r="B122" s="46"/>
      <c r="C122" s="46"/>
      <c r="D122" s="46"/>
      <c r="E122" s="46"/>
      <c r="F122" s="46"/>
      <c r="G122" s="46"/>
      <c r="H122" s="46"/>
      <c r="K122" s="46"/>
    </row>
    <row r="123" spans="1:11" s="109" customFormat="1">
      <c r="A123" s="46"/>
      <c r="B123" s="46"/>
      <c r="C123" s="46"/>
      <c r="D123" s="46"/>
      <c r="E123" s="46"/>
      <c r="F123" s="46"/>
      <c r="G123" s="46"/>
      <c r="H123" s="46"/>
      <c r="K123" s="46"/>
    </row>
    <row r="124" spans="1:11" s="109" customFormat="1">
      <c r="A124" s="46"/>
      <c r="B124" s="46"/>
      <c r="C124" s="46"/>
      <c r="D124" s="46"/>
      <c r="E124" s="46"/>
      <c r="F124" s="46"/>
      <c r="G124" s="46"/>
      <c r="H124" s="46"/>
      <c r="K124" s="46"/>
    </row>
    <row r="125" spans="1:11" s="109" customFormat="1">
      <c r="A125" s="46"/>
      <c r="B125" s="46"/>
      <c r="C125" s="46"/>
      <c r="D125" s="46"/>
      <c r="E125" s="46"/>
      <c r="F125" s="46"/>
      <c r="G125" s="46"/>
      <c r="H125" s="46"/>
      <c r="K125" s="46"/>
    </row>
    <row r="126" spans="1:11" s="109" customFormat="1">
      <c r="A126" s="46"/>
      <c r="B126" s="46"/>
      <c r="C126" s="46"/>
      <c r="D126" s="46"/>
      <c r="E126" s="46"/>
      <c r="F126" s="46"/>
      <c r="G126" s="46"/>
      <c r="H126" s="46"/>
      <c r="K126" s="46"/>
    </row>
    <row r="127" spans="1:11" s="109" customFormat="1">
      <c r="A127" s="46"/>
      <c r="B127" s="46"/>
      <c r="C127" s="46"/>
      <c r="D127" s="46"/>
      <c r="E127" s="46"/>
      <c r="F127" s="46"/>
      <c r="G127" s="46"/>
      <c r="H127" s="46"/>
      <c r="K127" s="46"/>
    </row>
    <row r="128" spans="1:11" s="109" customFormat="1">
      <c r="A128" s="46"/>
      <c r="B128" s="46"/>
      <c r="C128" s="46"/>
      <c r="D128" s="46"/>
      <c r="E128" s="46"/>
      <c r="F128" s="46"/>
      <c r="G128" s="46"/>
      <c r="H128" s="46"/>
      <c r="K128" s="46"/>
    </row>
    <row r="129" spans="1:11" s="109" customFormat="1">
      <c r="A129" s="46"/>
      <c r="B129" s="46"/>
      <c r="C129" s="46"/>
      <c r="D129" s="46"/>
      <c r="E129" s="46"/>
      <c r="F129" s="46"/>
      <c r="G129" s="46"/>
      <c r="H129" s="46"/>
      <c r="K129" s="46"/>
    </row>
    <row r="130" spans="1:11" s="109" customFormat="1">
      <c r="A130" s="46"/>
      <c r="B130" s="46"/>
      <c r="C130" s="46"/>
      <c r="D130" s="46"/>
      <c r="E130" s="46"/>
      <c r="F130" s="46"/>
      <c r="G130" s="46"/>
      <c r="H130" s="46"/>
      <c r="K130" s="46"/>
    </row>
    <row r="131" spans="1:11" s="109" customFormat="1">
      <c r="A131" s="46"/>
      <c r="B131" s="46"/>
      <c r="C131" s="46"/>
      <c r="D131" s="46"/>
      <c r="E131" s="46"/>
      <c r="F131" s="46"/>
      <c r="G131" s="46"/>
      <c r="H131" s="46"/>
      <c r="K131" s="46"/>
    </row>
    <row r="132" spans="1:11" s="109" customFormat="1">
      <c r="A132" s="46"/>
      <c r="B132" s="46"/>
      <c r="C132" s="46"/>
      <c r="D132" s="46"/>
      <c r="E132" s="46"/>
      <c r="F132" s="46"/>
      <c r="G132" s="46"/>
      <c r="H132" s="46"/>
      <c r="K132" s="46"/>
    </row>
    <row r="133" spans="1:11" s="109" customFormat="1">
      <c r="A133" s="46"/>
      <c r="B133" s="46"/>
      <c r="C133" s="46"/>
      <c r="D133" s="46"/>
      <c r="E133" s="46"/>
      <c r="F133" s="46"/>
      <c r="G133" s="46"/>
      <c r="H133" s="46"/>
      <c r="K133" s="46"/>
    </row>
    <row r="134" spans="1:11" s="109" customFormat="1">
      <c r="A134" s="46"/>
      <c r="B134" s="46"/>
      <c r="C134" s="46"/>
      <c r="D134" s="46"/>
      <c r="E134" s="46"/>
      <c r="F134" s="46"/>
      <c r="G134" s="46"/>
      <c r="H134" s="46"/>
      <c r="K134" s="46"/>
    </row>
    <row r="135" spans="1:11" s="109" customFormat="1">
      <c r="A135" s="46"/>
      <c r="B135" s="46"/>
      <c r="C135" s="46"/>
      <c r="D135" s="46"/>
      <c r="E135" s="46"/>
      <c r="F135" s="46"/>
      <c r="G135" s="46"/>
      <c r="H135" s="46"/>
      <c r="K135" s="46"/>
    </row>
    <row r="136" spans="1:11" s="109" customFormat="1">
      <c r="A136" s="46"/>
      <c r="B136" s="46"/>
      <c r="C136" s="46"/>
      <c r="D136" s="46"/>
      <c r="E136" s="46"/>
      <c r="F136" s="46"/>
      <c r="G136" s="46"/>
      <c r="H136" s="46"/>
      <c r="K136" s="46"/>
    </row>
    <row r="137" spans="1:11" s="109" customFormat="1">
      <c r="A137" s="46"/>
      <c r="B137" s="46"/>
      <c r="C137" s="46"/>
      <c r="D137" s="46"/>
      <c r="E137" s="46"/>
      <c r="F137" s="46"/>
      <c r="G137" s="46"/>
      <c r="H137" s="46"/>
      <c r="K137" s="46"/>
    </row>
    <row r="138" spans="1:11" s="109" customFormat="1">
      <c r="A138" s="46"/>
      <c r="B138" s="46"/>
      <c r="C138" s="46"/>
      <c r="D138" s="46"/>
      <c r="E138" s="46"/>
      <c r="F138" s="46"/>
      <c r="G138" s="46"/>
      <c r="H138" s="46"/>
      <c r="K138" s="46"/>
    </row>
    <row r="139" spans="1:11" s="109" customFormat="1">
      <c r="A139" s="46"/>
      <c r="B139" s="46"/>
      <c r="C139" s="46"/>
      <c r="D139" s="46"/>
      <c r="E139" s="46"/>
      <c r="F139" s="46"/>
      <c r="G139" s="46"/>
      <c r="H139" s="46"/>
      <c r="K139" s="46"/>
    </row>
    <row r="140" spans="1:11" s="109" customFormat="1">
      <c r="A140" s="46"/>
      <c r="B140" s="46"/>
      <c r="C140" s="46"/>
      <c r="D140" s="46"/>
      <c r="E140" s="46"/>
      <c r="F140" s="46"/>
      <c r="G140" s="46"/>
      <c r="H140" s="46"/>
      <c r="K140" s="46"/>
    </row>
    <row r="141" spans="1:11" s="109" customFormat="1">
      <c r="A141" s="46"/>
      <c r="B141" s="46"/>
      <c r="C141" s="46"/>
      <c r="D141" s="46"/>
      <c r="E141" s="46"/>
      <c r="F141" s="46"/>
      <c r="G141" s="46"/>
      <c r="H141" s="46"/>
      <c r="K141" s="46"/>
    </row>
    <row r="142" spans="1:11" s="109" customFormat="1">
      <c r="A142" s="46"/>
      <c r="B142" s="46"/>
      <c r="C142" s="46"/>
      <c r="D142" s="46"/>
      <c r="E142" s="46"/>
      <c r="F142" s="46"/>
      <c r="G142" s="46"/>
      <c r="H142" s="46"/>
      <c r="K142" s="46"/>
    </row>
    <row r="143" spans="1:11" s="109" customFormat="1">
      <c r="A143" s="46"/>
      <c r="B143" s="46"/>
      <c r="C143" s="46"/>
      <c r="D143" s="46"/>
      <c r="E143" s="46"/>
      <c r="F143" s="46"/>
      <c r="G143" s="46"/>
      <c r="H143" s="46"/>
      <c r="K143" s="46"/>
    </row>
    <row r="144" spans="1:11" s="109" customFormat="1">
      <c r="A144" s="46"/>
      <c r="B144" s="46"/>
      <c r="C144" s="46"/>
      <c r="D144" s="46"/>
      <c r="E144" s="46"/>
      <c r="F144" s="46"/>
      <c r="G144" s="46"/>
      <c r="H144" s="46"/>
      <c r="K144" s="46"/>
    </row>
    <row r="145" spans="1:11" s="109" customFormat="1">
      <c r="A145" s="46"/>
      <c r="B145" s="46"/>
      <c r="C145" s="46"/>
      <c r="D145" s="46"/>
      <c r="E145" s="46"/>
      <c r="F145" s="46"/>
      <c r="G145" s="46"/>
      <c r="H145" s="46"/>
      <c r="K145" s="46"/>
    </row>
    <row r="146" spans="1:11" s="109" customFormat="1">
      <c r="A146" s="46"/>
      <c r="B146" s="46"/>
      <c r="C146" s="46"/>
      <c r="D146" s="46"/>
      <c r="E146" s="46"/>
      <c r="F146" s="46"/>
      <c r="G146" s="46"/>
      <c r="H146" s="46"/>
      <c r="K146" s="46"/>
    </row>
    <row r="147" spans="1:11" s="109" customFormat="1">
      <c r="A147" s="46"/>
      <c r="B147" s="46"/>
      <c r="C147" s="46"/>
      <c r="D147" s="46"/>
      <c r="E147" s="46"/>
      <c r="F147" s="46"/>
      <c r="G147" s="46"/>
      <c r="H147" s="46"/>
      <c r="K147" s="46"/>
    </row>
    <row r="148" spans="1:11" s="109" customFormat="1">
      <c r="A148" s="46"/>
      <c r="B148" s="46"/>
      <c r="C148" s="46"/>
      <c r="D148" s="46"/>
      <c r="E148" s="46"/>
      <c r="F148" s="46"/>
      <c r="G148" s="46"/>
      <c r="H148" s="46"/>
      <c r="K148" s="46"/>
    </row>
    <row r="149" spans="1:11" s="109" customFormat="1">
      <c r="A149" s="46"/>
      <c r="B149" s="46"/>
      <c r="C149" s="46"/>
      <c r="D149" s="46"/>
      <c r="E149" s="46"/>
      <c r="F149" s="46"/>
      <c r="G149" s="46"/>
      <c r="H149" s="46"/>
      <c r="K149" s="46"/>
    </row>
    <row r="150" spans="1:11" s="109" customFormat="1">
      <c r="A150" s="46"/>
      <c r="B150" s="46"/>
      <c r="C150" s="46"/>
      <c r="D150" s="46"/>
      <c r="E150" s="46"/>
      <c r="F150" s="46"/>
      <c r="G150" s="46"/>
      <c r="H150" s="46"/>
      <c r="K150" s="46"/>
    </row>
    <row r="151" spans="1:11" s="109" customFormat="1">
      <c r="A151" s="46"/>
      <c r="B151" s="46"/>
      <c r="C151" s="46"/>
      <c r="D151" s="46"/>
      <c r="E151" s="46"/>
      <c r="F151" s="46"/>
      <c r="G151" s="46"/>
      <c r="H151" s="46"/>
      <c r="K151" s="46"/>
    </row>
    <row r="152" spans="1:11" s="109" customFormat="1">
      <c r="A152" s="46"/>
      <c r="B152" s="46"/>
      <c r="C152" s="46"/>
      <c r="D152" s="46"/>
      <c r="E152" s="46"/>
      <c r="F152" s="46"/>
      <c r="G152" s="46"/>
      <c r="H152" s="46"/>
      <c r="K152" s="46"/>
    </row>
    <row r="153" spans="1:11" s="109" customFormat="1">
      <c r="A153" s="46"/>
      <c r="B153" s="46"/>
      <c r="C153" s="46"/>
      <c r="D153" s="46"/>
      <c r="E153" s="46"/>
      <c r="F153" s="46"/>
      <c r="G153" s="46"/>
      <c r="H153" s="46"/>
      <c r="K153" s="46"/>
    </row>
    <row r="154" spans="1:11" s="109" customFormat="1">
      <c r="A154" s="46"/>
      <c r="B154" s="46"/>
      <c r="C154" s="46"/>
      <c r="D154" s="46"/>
      <c r="E154" s="46"/>
      <c r="F154" s="46"/>
      <c r="G154" s="46"/>
      <c r="H154" s="46"/>
      <c r="K154" s="46"/>
    </row>
    <row r="155" spans="1:11" s="109" customFormat="1">
      <c r="A155" s="46"/>
      <c r="B155" s="46"/>
      <c r="C155" s="46"/>
      <c r="D155" s="46"/>
      <c r="E155" s="46"/>
      <c r="F155" s="46"/>
      <c r="G155" s="46"/>
      <c r="H155" s="46"/>
      <c r="K155" s="46"/>
    </row>
    <row r="156" spans="1:11" s="109" customFormat="1">
      <c r="A156" s="46"/>
      <c r="B156" s="46"/>
      <c r="C156" s="46"/>
      <c r="D156" s="46"/>
      <c r="E156" s="46"/>
      <c r="F156" s="46"/>
      <c r="G156" s="46"/>
      <c r="H156" s="46"/>
      <c r="K156" s="46"/>
    </row>
    <row r="157" spans="1:11" s="109" customFormat="1">
      <c r="A157" s="46"/>
      <c r="B157" s="46"/>
      <c r="C157" s="46"/>
      <c r="D157" s="46"/>
      <c r="E157" s="46"/>
      <c r="F157" s="46"/>
      <c r="G157" s="46"/>
      <c r="H157" s="46"/>
      <c r="K157" s="46"/>
    </row>
    <row r="158" spans="1:11" s="109" customFormat="1">
      <c r="A158" s="46"/>
      <c r="B158" s="46"/>
      <c r="C158" s="46"/>
      <c r="D158" s="46"/>
      <c r="E158" s="46"/>
      <c r="F158" s="46"/>
      <c r="G158" s="46"/>
      <c r="H158" s="46"/>
      <c r="K158" s="46"/>
    </row>
    <row r="159" spans="1:11" s="109" customFormat="1">
      <c r="A159" s="46"/>
      <c r="B159" s="46"/>
      <c r="C159" s="46"/>
      <c r="D159" s="46"/>
      <c r="E159" s="46"/>
      <c r="F159" s="46"/>
      <c r="G159" s="46"/>
      <c r="H159" s="46"/>
      <c r="K159" s="46"/>
    </row>
    <row r="160" spans="1:11" s="109" customFormat="1">
      <c r="A160" s="46"/>
      <c r="B160" s="46"/>
      <c r="C160" s="46"/>
      <c r="D160" s="46"/>
      <c r="E160" s="46"/>
      <c r="F160" s="46"/>
      <c r="G160" s="46"/>
      <c r="H160" s="46"/>
      <c r="K160" s="46"/>
    </row>
    <row r="161" spans="1:11" s="109" customFormat="1">
      <c r="A161" s="46"/>
      <c r="B161" s="46"/>
      <c r="C161" s="46"/>
      <c r="D161" s="46"/>
      <c r="E161" s="46"/>
      <c r="F161" s="46"/>
      <c r="G161" s="46"/>
      <c r="H161" s="46"/>
      <c r="K161" s="46"/>
    </row>
    <row r="162" spans="1:11" s="109" customFormat="1">
      <c r="A162" s="46"/>
      <c r="B162" s="46"/>
      <c r="C162" s="46"/>
      <c r="D162" s="46"/>
      <c r="E162" s="46"/>
      <c r="F162" s="46"/>
      <c r="G162" s="46"/>
      <c r="H162" s="46"/>
      <c r="K162" s="46"/>
    </row>
    <row r="163" spans="1:11" s="109" customFormat="1">
      <c r="A163" s="46"/>
      <c r="B163" s="46"/>
      <c r="C163" s="46"/>
      <c r="D163" s="46"/>
      <c r="E163" s="46"/>
      <c r="F163" s="46"/>
      <c r="G163" s="46"/>
      <c r="H163" s="46"/>
      <c r="K163" s="46"/>
    </row>
    <row r="164" spans="1:11" s="109" customFormat="1">
      <c r="A164" s="46"/>
      <c r="B164" s="46"/>
      <c r="C164" s="46"/>
      <c r="D164" s="46"/>
      <c r="E164" s="46"/>
      <c r="F164" s="46"/>
      <c r="G164" s="46"/>
      <c r="H164" s="46"/>
      <c r="K164" s="46"/>
    </row>
    <row r="165" spans="1:11" s="109" customFormat="1">
      <c r="A165" s="46"/>
      <c r="B165" s="46"/>
      <c r="C165" s="46"/>
      <c r="D165" s="46"/>
      <c r="E165" s="46"/>
      <c r="F165" s="46"/>
      <c r="G165" s="46"/>
      <c r="H165" s="46"/>
      <c r="K165" s="46"/>
    </row>
    <row r="166" spans="1:11" s="109" customFormat="1">
      <c r="A166" s="46"/>
      <c r="B166" s="46"/>
      <c r="C166" s="46"/>
      <c r="D166" s="46"/>
      <c r="E166" s="46"/>
      <c r="F166" s="46"/>
      <c r="G166" s="46"/>
      <c r="H166" s="46"/>
      <c r="K166" s="46"/>
    </row>
    <row r="167" spans="1:11" s="109" customFormat="1">
      <c r="A167" s="46"/>
      <c r="B167" s="46"/>
      <c r="C167" s="46"/>
      <c r="D167" s="46"/>
      <c r="E167" s="46"/>
      <c r="F167" s="46"/>
      <c r="G167" s="46"/>
      <c r="H167" s="46"/>
      <c r="K167" s="46"/>
    </row>
    <row r="168" spans="1:11" s="109" customFormat="1">
      <c r="A168" s="46"/>
      <c r="B168" s="46"/>
      <c r="C168" s="46"/>
      <c r="D168" s="46"/>
      <c r="E168" s="46"/>
      <c r="F168" s="46"/>
      <c r="G168" s="46"/>
      <c r="H168" s="46"/>
      <c r="K168" s="46"/>
    </row>
    <row r="169" spans="1:11" s="109" customFormat="1">
      <c r="A169" s="46"/>
      <c r="B169" s="46"/>
      <c r="C169" s="46"/>
      <c r="D169" s="46"/>
      <c r="E169" s="46"/>
      <c r="F169" s="46"/>
      <c r="G169" s="46"/>
      <c r="H169" s="46"/>
      <c r="K169" s="46"/>
    </row>
    <row r="170" spans="1:11" s="109" customFormat="1">
      <c r="A170" s="46"/>
      <c r="B170" s="46"/>
      <c r="C170" s="46"/>
      <c r="D170" s="46"/>
      <c r="E170" s="46"/>
      <c r="F170" s="46"/>
      <c r="G170" s="46"/>
      <c r="H170" s="46"/>
      <c r="K170" s="46"/>
    </row>
    <row r="171" spans="1:11" s="109" customFormat="1">
      <c r="A171" s="46"/>
      <c r="B171" s="46"/>
      <c r="C171" s="46"/>
      <c r="D171" s="46"/>
      <c r="E171" s="46"/>
      <c r="F171" s="46"/>
      <c r="G171" s="46"/>
      <c r="H171" s="46"/>
      <c r="K171" s="46"/>
    </row>
    <row r="172" spans="1:11" s="109" customFormat="1">
      <c r="A172" s="46"/>
      <c r="B172" s="46"/>
      <c r="C172" s="46"/>
      <c r="D172" s="46"/>
      <c r="E172" s="46"/>
      <c r="F172" s="46"/>
      <c r="G172" s="46"/>
      <c r="H172" s="46"/>
      <c r="K172" s="46"/>
    </row>
    <row r="173" spans="1:11" s="109" customFormat="1">
      <c r="A173" s="46"/>
      <c r="B173" s="46"/>
      <c r="C173" s="46"/>
      <c r="D173" s="46"/>
      <c r="E173" s="46"/>
      <c r="F173" s="46"/>
      <c r="G173" s="46"/>
      <c r="H173" s="46"/>
      <c r="K173" s="46"/>
    </row>
    <row r="174" spans="1:11" s="109" customFormat="1">
      <c r="A174" s="46"/>
      <c r="B174" s="46"/>
      <c r="C174" s="46"/>
      <c r="D174" s="46"/>
      <c r="E174" s="46"/>
      <c r="F174" s="46"/>
      <c r="G174" s="46"/>
      <c r="H174" s="46"/>
      <c r="K174" s="46"/>
    </row>
    <row r="175" spans="1:11" s="109" customFormat="1">
      <c r="A175" s="46"/>
      <c r="B175" s="46"/>
      <c r="C175" s="46"/>
      <c r="D175" s="46"/>
      <c r="E175" s="46"/>
      <c r="F175" s="46"/>
      <c r="G175" s="46"/>
      <c r="H175" s="46"/>
      <c r="K175" s="46"/>
    </row>
    <row r="176" spans="1:11" s="109" customFormat="1">
      <c r="A176" s="46"/>
      <c r="B176" s="46"/>
      <c r="C176" s="46"/>
      <c r="D176" s="46"/>
      <c r="E176" s="46"/>
      <c r="F176" s="46"/>
      <c r="G176" s="46"/>
      <c r="H176" s="46"/>
      <c r="K176" s="46"/>
    </row>
    <row r="177" spans="1:11" s="109" customFormat="1">
      <c r="A177" s="46"/>
      <c r="B177" s="46"/>
      <c r="C177" s="46"/>
      <c r="D177" s="46"/>
      <c r="E177" s="46"/>
      <c r="F177" s="46"/>
      <c r="G177" s="46"/>
      <c r="H177" s="46"/>
      <c r="K177" s="46"/>
    </row>
    <row r="178" spans="1:11" s="109" customFormat="1">
      <c r="A178" s="46"/>
      <c r="B178" s="46"/>
      <c r="C178" s="46"/>
      <c r="D178" s="46"/>
      <c r="E178" s="46"/>
      <c r="F178" s="46"/>
      <c r="G178" s="46"/>
      <c r="H178" s="46"/>
      <c r="K178" s="46"/>
    </row>
    <row r="179" spans="1:11" s="109" customFormat="1">
      <c r="A179" s="46"/>
      <c r="B179" s="46"/>
      <c r="C179" s="46"/>
      <c r="D179" s="46"/>
      <c r="E179" s="46"/>
      <c r="F179" s="46"/>
      <c r="G179" s="46"/>
      <c r="H179" s="46"/>
      <c r="K179" s="46"/>
    </row>
    <row r="180" spans="1:11" s="109" customFormat="1">
      <c r="A180" s="46"/>
      <c r="B180" s="46"/>
      <c r="C180" s="46"/>
      <c r="D180" s="46"/>
      <c r="E180" s="46"/>
      <c r="F180" s="46"/>
      <c r="G180" s="46"/>
      <c r="H180" s="46"/>
      <c r="K180" s="46"/>
    </row>
    <row r="181" spans="1:11" s="109" customFormat="1">
      <c r="A181" s="46"/>
      <c r="B181" s="46"/>
      <c r="C181" s="46"/>
      <c r="D181" s="46"/>
      <c r="E181" s="46"/>
      <c r="F181" s="46"/>
      <c r="G181" s="46"/>
      <c r="H181" s="46"/>
      <c r="K181" s="46"/>
    </row>
    <row r="182" spans="1:11" s="109" customFormat="1">
      <c r="A182" s="46"/>
      <c r="B182" s="46"/>
      <c r="C182" s="46"/>
      <c r="D182" s="46"/>
      <c r="E182" s="46"/>
      <c r="F182" s="46"/>
      <c r="G182" s="46"/>
      <c r="H182" s="46"/>
      <c r="K182" s="46"/>
    </row>
    <row r="183" spans="1:11" s="109" customFormat="1">
      <c r="A183" s="46"/>
      <c r="B183" s="46"/>
      <c r="C183" s="46"/>
      <c r="D183" s="46"/>
      <c r="E183" s="46"/>
      <c r="F183" s="46"/>
      <c r="G183" s="46"/>
      <c r="H183" s="46"/>
      <c r="K183" s="46"/>
    </row>
    <row r="184" spans="1:11" s="109" customFormat="1">
      <c r="A184" s="46"/>
      <c r="B184" s="46"/>
      <c r="C184" s="46"/>
      <c r="D184" s="46"/>
      <c r="E184" s="46"/>
      <c r="F184" s="46"/>
      <c r="G184" s="46"/>
      <c r="H184" s="46"/>
      <c r="K184" s="46"/>
    </row>
    <row r="185" spans="1:11" s="109" customFormat="1">
      <c r="A185" s="46"/>
      <c r="B185" s="46"/>
      <c r="C185" s="46"/>
      <c r="D185" s="46"/>
      <c r="E185" s="46"/>
      <c r="F185" s="46"/>
      <c r="G185" s="46"/>
      <c r="H185" s="46"/>
      <c r="K185" s="46"/>
    </row>
    <row r="186" spans="1:11" s="109" customFormat="1">
      <c r="A186" s="46"/>
      <c r="B186" s="46"/>
      <c r="C186" s="46"/>
      <c r="D186" s="46"/>
      <c r="E186" s="46"/>
      <c r="F186" s="46"/>
      <c r="G186" s="46"/>
      <c r="H186" s="46"/>
      <c r="K186" s="46"/>
    </row>
    <row r="187" spans="1:11" s="109" customFormat="1">
      <c r="A187" s="46"/>
      <c r="B187" s="46"/>
      <c r="C187" s="46"/>
      <c r="D187" s="46"/>
      <c r="E187" s="46"/>
      <c r="F187" s="46"/>
      <c r="G187" s="46"/>
      <c r="H187" s="46"/>
      <c r="K187" s="46"/>
    </row>
    <row r="188" spans="1:11" s="109" customFormat="1">
      <c r="A188" s="46"/>
      <c r="B188" s="46"/>
      <c r="C188" s="46"/>
      <c r="D188" s="46"/>
      <c r="E188" s="46"/>
      <c r="F188" s="46"/>
      <c r="G188" s="46"/>
      <c r="H188" s="46"/>
      <c r="K188" s="46"/>
    </row>
    <row r="189" spans="1:11" s="109" customFormat="1">
      <c r="A189" s="46"/>
      <c r="B189" s="46"/>
      <c r="C189" s="46"/>
      <c r="D189" s="46"/>
      <c r="E189" s="46"/>
      <c r="F189" s="46"/>
      <c r="G189" s="46"/>
      <c r="H189" s="46"/>
      <c r="K189" s="46"/>
    </row>
    <row r="190" spans="1:11" s="109" customFormat="1">
      <c r="A190" s="46"/>
      <c r="B190" s="46"/>
      <c r="C190" s="46"/>
      <c r="D190" s="46"/>
      <c r="E190" s="46"/>
      <c r="F190" s="46"/>
      <c r="G190" s="46"/>
      <c r="H190" s="46"/>
      <c r="K190" s="46"/>
    </row>
    <row r="191" spans="1:11" s="109" customFormat="1">
      <c r="A191" s="46"/>
      <c r="B191" s="46"/>
      <c r="C191" s="46"/>
      <c r="D191" s="46"/>
      <c r="E191" s="46"/>
      <c r="F191" s="46"/>
      <c r="G191" s="46"/>
      <c r="H191" s="46"/>
      <c r="K191" s="46"/>
    </row>
    <row r="192" spans="1:11" s="109" customFormat="1">
      <c r="A192" s="46"/>
      <c r="B192" s="46"/>
      <c r="C192" s="46"/>
      <c r="D192" s="46"/>
      <c r="E192" s="46"/>
      <c r="F192" s="46"/>
      <c r="G192" s="46"/>
      <c r="H192" s="46"/>
      <c r="K192" s="46"/>
    </row>
    <row r="193" spans="1:11" s="109" customFormat="1">
      <c r="A193" s="46"/>
      <c r="B193" s="46"/>
      <c r="C193" s="46"/>
      <c r="D193" s="46"/>
      <c r="E193" s="46"/>
      <c r="F193" s="46"/>
      <c r="G193" s="46"/>
      <c r="H193" s="46"/>
      <c r="K193" s="46"/>
    </row>
    <row r="194" spans="1:11" s="109" customFormat="1">
      <c r="A194" s="46"/>
      <c r="B194" s="46"/>
      <c r="C194" s="46"/>
      <c r="D194" s="46"/>
      <c r="E194" s="46"/>
      <c r="F194" s="46"/>
      <c r="G194" s="46"/>
      <c r="H194" s="46"/>
      <c r="K194" s="46"/>
    </row>
    <row r="195" spans="1:11" s="109" customFormat="1">
      <c r="A195" s="46"/>
      <c r="B195" s="46"/>
      <c r="C195" s="46"/>
      <c r="D195" s="46"/>
      <c r="E195" s="46"/>
      <c r="F195" s="46"/>
      <c r="G195" s="46"/>
      <c r="H195" s="46"/>
      <c r="K195" s="46"/>
    </row>
    <row r="196" spans="1:11" s="109" customFormat="1">
      <c r="A196" s="46"/>
      <c r="B196" s="46"/>
      <c r="C196" s="46"/>
      <c r="D196" s="46"/>
      <c r="E196" s="46"/>
      <c r="F196" s="46"/>
      <c r="G196" s="46"/>
      <c r="H196" s="46"/>
      <c r="K196" s="46"/>
    </row>
    <row r="197" spans="1:11" s="109" customFormat="1">
      <c r="A197" s="46"/>
      <c r="B197" s="46"/>
      <c r="C197" s="46"/>
      <c r="D197" s="46"/>
      <c r="E197" s="46"/>
      <c r="F197" s="46"/>
      <c r="G197" s="46"/>
      <c r="H197" s="46"/>
      <c r="K197" s="46"/>
    </row>
    <row r="198" spans="1:11" s="109" customFormat="1">
      <c r="A198" s="46"/>
      <c r="B198" s="46"/>
      <c r="C198" s="46"/>
      <c r="D198" s="46"/>
      <c r="E198" s="46"/>
      <c r="F198" s="46"/>
      <c r="G198" s="46"/>
      <c r="H198" s="46"/>
      <c r="K198" s="46"/>
    </row>
    <row r="199" spans="1:11" s="109" customFormat="1">
      <c r="A199" s="46"/>
      <c r="B199" s="46"/>
      <c r="C199" s="46"/>
      <c r="D199" s="46"/>
      <c r="E199" s="46"/>
      <c r="F199" s="46"/>
      <c r="G199" s="46"/>
      <c r="H199" s="46"/>
      <c r="K199" s="46"/>
    </row>
    <row r="200" spans="1:11" s="109" customFormat="1">
      <c r="A200" s="46"/>
      <c r="B200" s="46"/>
      <c r="C200" s="46"/>
      <c r="D200" s="46"/>
      <c r="E200" s="46"/>
      <c r="F200" s="46"/>
      <c r="G200" s="46"/>
      <c r="H200" s="46"/>
      <c r="K200" s="46"/>
    </row>
    <row r="201" spans="1:11" s="109" customFormat="1">
      <c r="A201" s="46"/>
      <c r="B201" s="46"/>
      <c r="C201" s="46"/>
      <c r="D201" s="46"/>
      <c r="E201" s="46"/>
      <c r="F201" s="46"/>
      <c r="G201" s="46"/>
      <c r="H201" s="46"/>
      <c r="K201" s="46"/>
    </row>
    <row r="202" spans="1:11" s="109" customFormat="1">
      <c r="A202" s="46"/>
      <c r="B202" s="46"/>
      <c r="C202" s="46"/>
      <c r="D202" s="46"/>
      <c r="E202" s="46"/>
      <c r="F202" s="46"/>
      <c r="G202" s="46"/>
      <c r="H202" s="46"/>
      <c r="K202" s="46"/>
    </row>
    <row r="203" spans="1:11" s="109" customFormat="1">
      <c r="A203" s="46"/>
      <c r="B203" s="46"/>
      <c r="C203" s="46"/>
      <c r="D203" s="46"/>
      <c r="E203" s="46"/>
      <c r="F203" s="46"/>
      <c r="G203" s="46"/>
      <c r="H203" s="46"/>
      <c r="K203" s="46"/>
    </row>
    <row r="204" spans="1:11" s="109" customFormat="1">
      <c r="A204" s="46"/>
      <c r="B204" s="46"/>
      <c r="C204" s="46"/>
      <c r="D204" s="46"/>
      <c r="E204" s="46"/>
      <c r="F204" s="46"/>
      <c r="G204" s="46"/>
      <c r="H204" s="46"/>
      <c r="K204" s="46"/>
    </row>
    <row r="205" spans="1:11" s="109" customFormat="1">
      <c r="A205" s="46"/>
      <c r="B205" s="46"/>
      <c r="C205" s="46"/>
      <c r="D205" s="46"/>
      <c r="E205" s="46"/>
      <c r="F205" s="46"/>
      <c r="G205" s="46"/>
      <c r="H205" s="46"/>
      <c r="K205" s="46"/>
    </row>
    <row r="206" spans="1:11" s="109" customFormat="1">
      <c r="A206" s="46"/>
      <c r="B206" s="46"/>
      <c r="C206" s="46"/>
      <c r="D206" s="46"/>
      <c r="E206" s="46"/>
      <c r="F206" s="46"/>
      <c r="G206" s="46"/>
      <c r="H206" s="46"/>
      <c r="K206" s="46"/>
    </row>
    <row r="207" spans="1:11" s="109" customFormat="1">
      <c r="A207" s="46"/>
      <c r="B207" s="46"/>
      <c r="C207" s="46"/>
      <c r="D207" s="46"/>
      <c r="E207" s="46"/>
      <c r="F207" s="46"/>
      <c r="G207" s="46"/>
      <c r="H207" s="46"/>
      <c r="K207" s="46"/>
    </row>
    <row r="208" spans="1:11" s="109" customFormat="1">
      <c r="A208" s="46"/>
      <c r="B208" s="46"/>
      <c r="C208" s="46"/>
      <c r="D208" s="46"/>
      <c r="E208" s="46"/>
      <c r="F208" s="46"/>
      <c r="G208" s="46"/>
      <c r="H208" s="46"/>
      <c r="K208" s="46"/>
    </row>
    <row r="209" spans="1:11" s="109" customFormat="1">
      <c r="A209" s="46"/>
      <c r="B209" s="46"/>
      <c r="C209" s="46"/>
      <c r="D209" s="46"/>
      <c r="E209" s="46"/>
      <c r="F209" s="46"/>
      <c r="G209" s="46"/>
      <c r="H209" s="46"/>
      <c r="K209" s="46"/>
    </row>
    <row r="210" spans="1:11" s="109" customFormat="1">
      <c r="A210" s="46"/>
      <c r="B210" s="46"/>
      <c r="C210" s="46"/>
      <c r="D210" s="46"/>
      <c r="E210" s="46"/>
      <c r="F210" s="46"/>
      <c r="G210" s="46"/>
      <c r="H210" s="46"/>
      <c r="K210" s="46"/>
    </row>
    <row r="211" spans="1:11" s="109" customFormat="1">
      <c r="A211" s="46"/>
      <c r="B211" s="46"/>
      <c r="C211" s="46"/>
      <c r="D211" s="46"/>
      <c r="E211" s="46"/>
      <c r="F211" s="46"/>
      <c r="G211" s="46"/>
      <c r="H211" s="46"/>
      <c r="K211" s="46"/>
    </row>
    <row r="212" spans="1:11" s="109" customFormat="1">
      <c r="A212" s="46"/>
      <c r="B212" s="46"/>
      <c r="C212" s="46"/>
      <c r="D212" s="46"/>
      <c r="E212" s="46"/>
      <c r="F212" s="46"/>
      <c r="G212" s="46"/>
      <c r="H212" s="46"/>
      <c r="K212" s="46"/>
    </row>
    <row r="213" spans="1:11" s="109" customFormat="1">
      <c r="A213" s="46"/>
      <c r="B213" s="46"/>
      <c r="C213" s="46"/>
      <c r="D213" s="46"/>
      <c r="E213" s="46"/>
      <c r="F213" s="46"/>
      <c r="G213" s="46"/>
      <c r="H213" s="46"/>
      <c r="K213" s="46"/>
    </row>
    <row r="214" spans="1:11" s="109" customFormat="1">
      <c r="A214" s="46"/>
      <c r="B214" s="46"/>
      <c r="C214" s="46"/>
      <c r="D214" s="46"/>
      <c r="E214" s="46"/>
      <c r="F214" s="46"/>
      <c r="G214" s="46"/>
      <c r="H214" s="46"/>
      <c r="K214" s="46"/>
    </row>
    <row r="215" spans="1:11" s="109" customFormat="1">
      <c r="A215" s="46"/>
      <c r="B215" s="46"/>
      <c r="C215" s="46"/>
      <c r="D215" s="46"/>
      <c r="E215" s="46"/>
      <c r="F215" s="46"/>
      <c r="G215" s="46"/>
      <c r="H215" s="46"/>
      <c r="K215" s="46"/>
    </row>
    <row r="216" spans="1:11" s="109" customFormat="1">
      <c r="A216" s="46"/>
      <c r="B216" s="46"/>
      <c r="C216" s="46"/>
      <c r="D216" s="46"/>
      <c r="E216" s="46"/>
      <c r="F216" s="46"/>
      <c r="G216" s="46"/>
      <c r="H216" s="46"/>
      <c r="K216" s="46"/>
    </row>
    <row r="217" spans="1:11" s="109" customFormat="1">
      <c r="A217" s="46"/>
      <c r="B217" s="46"/>
      <c r="C217" s="46"/>
      <c r="D217" s="46"/>
      <c r="E217" s="46"/>
      <c r="F217" s="46"/>
      <c r="G217" s="46"/>
      <c r="H217" s="46"/>
      <c r="K217" s="46"/>
    </row>
    <row r="218" spans="1:11" s="109" customFormat="1">
      <c r="A218" s="46"/>
      <c r="B218" s="46"/>
      <c r="C218" s="46"/>
      <c r="D218" s="46"/>
      <c r="E218" s="46"/>
      <c r="F218" s="46"/>
      <c r="G218" s="46"/>
      <c r="H218" s="46"/>
      <c r="K218" s="46"/>
    </row>
    <row r="219" spans="1:11" s="109" customFormat="1">
      <c r="A219" s="46"/>
      <c r="B219" s="46"/>
      <c r="C219" s="46"/>
      <c r="D219" s="46"/>
      <c r="E219" s="46"/>
      <c r="F219" s="46"/>
      <c r="G219" s="46"/>
      <c r="H219" s="46"/>
      <c r="K219" s="46"/>
    </row>
    <row r="220" spans="1:11" s="109" customFormat="1">
      <c r="A220" s="46"/>
      <c r="B220" s="46"/>
      <c r="C220" s="46"/>
      <c r="D220" s="46"/>
      <c r="E220" s="46"/>
      <c r="F220" s="46"/>
      <c r="G220" s="46"/>
      <c r="H220" s="46"/>
      <c r="K220" s="46"/>
    </row>
    <row r="221" spans="1:11" s="109" customFormat="1">
      <c r="A221" s="46"/>
      <c r="B221" s="46"/>
      <c r="C221" s="46"/>
      <c r="D221" s="46"/>
      <c r="E221" s="46"/>
      <c r="F221" s="46"/>
      <c r="G221" s="46"/>
      <c r="H221" s="46"/>
      <c r="K221" s="46"/>
    </row>
    <row r="222" spans="1:11" s="109" customFormat="1">
      <c r="A222" s="46"/>
      <c r="B222" s="46"/>
      <c r="C222" s="46"/>
      <c r="D222" s="46"/>
      <c r="E222" s="46"/>
      <c r="F222" s="46"/>
      <c r="G222" s="46"/>
      <c r="H222" s="46"/>
      <c r="K222" s="46"/>
    </row>
    <row r="223" spans="1:11" s="109" customFormat="1">
      <c r="A223" s="46"/>
      <c r="B223" s="46"/>
      <c r="C223" s="46"/>
      <c r="D223" s="46"/>
      <c r="E223" s="46"/>
      <c r="F223" s="46"/>
      <c r="G223" s="46"/>
      <c r="H223" s="46"/>
      <c r="K223" s="46"/>
    </row>
    <row r="224" spans="1:11" s="109" customFormat="1">
      <c r="A224" s="46"/>
      <c r="B224" s="46"/>
      <c r="C224" s="46"/>
      <c r="D224" s="46"/>
      <c r="E224" s="46"/>
      <c r="F224" s="46"/>
      <c r="G224" s="46"/>
      <c r="H224" s="46"/>
      <c r="K224" s="46"/>
    </row>
    <row r="225" spans="1:11" s="109" customFormat="1">
      <c r="A225" s="46"/>
      <c r="B225" s="46"/>
      <c r="C225" s="46"/>
      <c r="D225" s="46"/>
      <c r="E225" s="46"/>
      <c r="F225" s="46"/>
      <c r="G225" s="46"/>
      <c r="H225" s="46"/>
      <c r="K225" s="46"/>
    </row>
    <row r="226" spans="1:11" s="109" customFormat="1">
      <c r="A226" s="46"/>
      <c r="B226" s="46"/>
      <c r="C226" s="46"/>
      <c r="D226" s="46"/>
      <c r="E226" s="46"/>
      <c r="F226" s="46"/>
      <c r="G226" s="46"/>
      <c r="H226" s="46"/>
      <c r="K226" s="46"/>
    </row>
    <row r="227" spans="1:11" s="109" customFormat="1">
      <c r="A227" s="46"/>
      <c r="B227" s="46"/>
      <c r="C227" s="46"/>
      <c r="D227" s="46"/>
      <c r="E227" s="46"/>
      <c r="F227" s="46"/>
      <c r="G227" s="46"/>
      <c r="H227" s="46"/>
      <c r="K227" s="46"/>
    </row>
    <row r="228" spans="1:11" s="109" customFormat="1">
      <c r="A228" s="46"/>
      <c r="B228" s="46"/>
      <c r="C228" s="46"/>
      <c r="D228" s="46"/>
      <c r="E228" s="46"/>
      <c r="F228" s="46"/>
      <c r="G228" s="46"/>
      <c r="H228" s="46"/>
      <c r="K228" s="46"/>
    </row>
    <row r="229" spans="1:11" s="109" customFormat="1">
      <c r="A229" s="46"/>
      <c r="B229" s="46"/>
      <c r="C229" s="46"/>
      <c r="D229" s="46"/>
      <c r="E229" s="46"/>
      <c r="F229" s="46"/>
      <c r="G229" s="46"/>
      <c r="H229" s="46"/>
      <c r="K229" s="46"/>
    </row>
    <row r="230" spans="1:11" s="109" customFormat="1">
      <c r="A230" s="46"/>
      <c r="B230" s="46"/>
      <c r="C230" s="46"/>
      <c r="D230" s="46"/>
      <c r="E230" s="46"/>
      <c r="F230" s="46"/>
      <c r="G230" s="46"/>
      <c r="H230" s="46"/>
      <c r="K230" s="46"/>
    </row>
    <row r="231" spans="1:11" s="109" customFormat="1">
      <c r="A231" s="46"/>
      <c r="B231" s="46"/>
      <c r="C231" s="46"/>
      <c r="D231" s="46"/>
      <c r="E231" s="46"/>
      <c r="F231" s="46"/>
      <c r="G231" s="46"/>
      <c r="H231" s="46"/>
      <c r="K231" s="46"/>
    </row>
  </sheetData>
  <mergeCells count="3">
    <mergeCell ref="A2:J2"/>
    <mergeCell ref="A3:J3"/>
    <mergeCell ref="A4:J4"/>
  </mergeCells>
  <pageMargins left="0.27" right="0.15" top="0.39" bottom="0.1" header="0.21" footer="0.1"/>
  <pageSetup scale="90" orientation="portrait" horizontalDpi="300" verticalDpi="30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6699"/>
  </sheetPr>
  <dimension ref="A1:N231"/>
  <sheetViews>
    <sheetView topLeftCell="A22" workbookViewId="0">
      <selection activeCell="D23" sqref="D23"/>
    </sheetView>
  </sheetViews>
  <sheetFormatPr defaultRowHeight="12.75"/>
  <cols>
    <col min="1" max="1" width="6" style="46" customWidth="1"/>
    <col min="2" max="3" width="9.140625" style="46"/>
    <col min="4" max="4" width="16.5703125" style="46" customWidth="1"/>
    <col min="5" max="5" width="12.42578125" style="46" customWidth="1"/>
    <col min="6" max="6" width="13.140625" style="46" customWidth="1"/>
    <col min="7" max="7" width="10" style="46" customWidth="1"/>
    <col min="8" max="8" width="11.5703125" style="46" customWidth="1"/>
    <col min="9" max="9" width="11.42578125" style="46" customWidth="1"/>
    <col min="10" max="10" width="13.28515625" style="109" customWidth="1"/>
    <col min="11" max="11" width="15.7109375" style="46" customWidth="1"/>
    <col min="12" max="12" width="16.85546875" style="109" customWidth="1"/>
    <col min="13" max="13" width="17" style="109" customWidth="1"/>
    <col min="14" max="14" width="17" style="46" customWidth="1"/>
    <col min="15" max="16384" width="9.140625" style="46"/>
  </cols>
  <sheetData>
    <row r="1" spans="1:13">
      <c r="A1" s="47"/>
      <c r="B1" s="48"/>
      <c r="C1" s="48"/>
      <c r="D1" s="48"/>
      <c r="E1" s="48"/>
      <c r="F1" s="48"/>
      <c r="G1" s="48"/>
      <c r="H1" s="48"/>
      <c r="I1" s="48"/>
      <c r="J1" s="169" t="s">
        <v>81</v>
      </c>
    </row>
    <row r="2" spans="1:13">
      <c r="A2" s="389" t="s">
        <v>80</v>
      </c>
      <c r="B2" s="390"/>
      <c r="C2" s="390"/>
      <c r="D2" s="390"/>
      <c r="E2" s="390"/>
      <c r="F2" s="390"/>
      <c r="G2" s="390"/>
      <c r="H2" s="390"/>
      <c r="I2" s="390"/>
      <c r="J2" s="391"/>
    </row>
    <row r="3" spans="1:13">
      <c r="A3" s="389" t="s">
        <v>201</v>
      </c>
      <c r="B3" s="390"/>
      <c r="C3" s="390"/>
      <c r="D3" s="390"/>
      <c r="E3" s="390"/>
      <c r="F3" s="390"/>
      <c r="G3" s="390"/>
      <c r="H3" s="390"/>
      <c r="I3" s="390"/>
      <c r="J3" s="391"/>
    </row>
    <row r="4" spans="1:13">
      <c r="A4" s="389"/>
      <c r="B4" s="390"/>
      <c r="C4" s="390"/>
      <c r="D4" s="390"/>
      <c r="E4" s="390"/>
      <c r="F4" s="390"/>
      <c r="G4" s="390"/>
      <c r="H4" s="390"/>
      <c r="I4" s="390"/>
      <c r="J4" s="391"/>
    </row>
    <row r="5" spans="1:13">
      <c r="A5" s="54" t="s">
        <v>77</v>
      </c>
      <c r="B5" s="213"/>
      <c r="C5" s="213"/>
      <c r="D5" s="213"/>
      <c r="E5" s="213"/>
      <c r="F5" s="213"/>
      <c r="G5" s="213"/>
      <c r="H5" s="213"/>
      <c r="I5" s="213"/>
      <c r="J5" s="170"/>
    </row>
    <row r="6" spans="1:13">
      <c r="A6" s="54" t="s">
        <v>76</v>
      </c>
      <c r="B6" s="55"/>
      <c r="C6" s="55"/>
      <c r="D6" s="55"/>
      <c r="E6" s="55"/>
      <c r="F6" s="55"/>
      <c r="G6" s="55"/>
      <c r="H6" s="55"/>
      <c r="I6" s="55"/>
      <c r="J6" s="171"/>
    </row>
    <row r="7" spans="1:13">
      <c r="A7" s="47"/>
      <c r="B7" s="48"/>
      <c r="C7" s="48"/>
      <c r="D7" s="49"/>
      <c r="E7" s="88" t="s">
        <v>8</v>
      </c>
      <c r="F7" s="50"/>
      <c r="G7" s="52"/>
      <c r="H7" s="52"/>
      <c r="I7" s="53"/>
      <c r="J7" s="110"/>
    </row>
    <row r="8" spans="1:13">
      <c r="A8" s="54"/>
      <c r="B8" s="55"/>
      <c r="C8" s="55"/>
      <c r="D8" s="56"/>
      <c r="E8" s="212" t="s">
        <v>9</v>
      </c>
      <c r="F8" s="53"/>
      <c r="G8" s="59"/>
      <c r="H8" s="59"/>
      <c r="I8" s="58"/>
      <c r="J8" s="111"/>
    </row>
    <row r="9" spans="1:13">
      <c r="A9" s="61" t="s">
        <v>68</v>
      </c>
      <c r="B9" s="55"/>
      <c r="C9" s="55"/>
      <c r="D9" s="56"/>
      <c r="E9" s="212" t="s">
        <v>10</v>
      </c>
      <c r="F9" s="60" t="s">
        <v>12</v>
      </c>
      <c r="G9" s="60" t="s">
        <v>14</v>
      </c>
      <c r="H9" s="60" t="s">
        <v>20</v>
      </c>
      <c r="I9" s="60" t="s">
        <v>22</v>
      </c>
      <c r="J9" s="112" t="s">
        <v>24</v>
      </c>
    </row>
    <row r="10" spans="1:13">
      <c r="A10" s="54"/>
      <c r="B10" s="55"/>
      <c r="C10" s="55"/>
      <c r="D10" s="56"/>
      <c r="E10" s="212" t="s">
        <v>11</v>
      </c>
      <c r="F10" s="60" t="s">
        <v>13</v>
      </c>
      <c r="G10" s="59"/>
      <c r="H10" s="60" t="s">
        <v>21</v>
      </c>
      <c r="I10" s="60" t="s">
        <v>23</v>
      </c>
      <c r="J10" s="111"/>
    </row>
    <row r="11" spans="1:13">
      <c r="A11" s="62"/>
      <c r="B11" s="63"/>
      <c r="C11" s="63"/>
      <c r="D11" s="64"/>
      <c r="E11" s="65">
        <v>0.3</v>
      </c>
      <c r="F11" s="66">
        <v>0.7</v>
      </c>
      <c r="G11" s="59"/>
      <c r="H11" s="67"/>
      <c r="I11" s="68"/>
      <c r="J11" s="113"/>
    </row>
    <row r="12" spans="1:13" ht="18" customHeight="1">
      <c r="A12" s="70" t="s">
        <v>0</v>
      </c>
      <c r="B12" s="71"/>
      <c r="C12" s="71"/>
      <c r="D12" s="72"/>
      <c r="E12" s="51"/>
      <c r="F12" s="51"/>
      <c r="G12" s="51"/>
      <c r="H12" s="51"/>
      <c r="I12" s="51"/>
      <c r="J12" s="110"/>
      <c r="L12" s="118" t="s">
        <v>90</v>
      </c>
      <c r="M12" s="118" t="s">
        <v>89</v>
      </c>
    </row>
    <row r="13" spans="1:13" ht="18" customHeight="1">
      <c r="A13" s="73" t="s">
        <v>1</v>
      </c>
      <c r="B13" s="72"/>
      <c r="C13" s="72"/>
      <c r="D13" s="72"/>
      <c r="E13" s="94">
        <f>M19*0.3</f>
        <v>501871.69215000002</v>
      </c>
      <c r="F13" s="94">
        <f>M19*0.7</f>
        <v>1171033.94835</v>
      </c>
      <c r="G13" s="94"/>
      <c r="H13" s="94"/>
      <c r="I13" s="94"/>
      <c r="J13" s="275">
        <f>SUM(E13:I13)</f>
        <v>1672905.6405</v>
      </c>
      <c r="K13" s="175" t="e">
        <f>SUM(J13+#REF!+#REF!+#REF!+#REF!+#REF!+#REF!+#REF!+#REF!+#REF!+#REF!+#REF!)</f>
        <v>#REF!</v>
      </c>
      <c r="L13" s="109">
        <v>21367644.399999999</v>
      </c>
      <c r="M13" s="109">
        <v>4171566.4</v>
      </c>
    </row>
    <row r="14" spans="1:13" ht="18" customHeight="1">
      <c r="A14" s="73" t="s">
        <v>2</v>
      </c>
      <c r="B14" s="72"/>
      <c r="C14" s="72"/>
      <c r="D14" s="72"/>
      <c r="E14" s="102"/>
      <c r="F14" s="102"/>
      <c r="G14" s="102"/>
      <c r="H14" s="102"/>
      <c r="I14" s="102"/>
      <c r="J14" s="110">
        <f>SUM(E14:I14)</f>
        <v>0</v>
      </c>
      <c r="K14" s="117" t="s">
        <v>88</v>
      </c>
      <c r="L14" s="109">
        <v>9400000</v>
      </c>
      <c r="M14" s="109">
        <v>5637398.9699999997</v>
      </c>
    </row>
    <row r="15" spans="1:13" ht="18" customHeight="1">
      <c r="A15" s="75" t="s">
        <v>3</v>
      </c>
      <c r="B15" s="48"/>
      <c r="C15" s="48"/>
      <c r="D15" s="48"/>
      <c r="E15" s="102"/>
      <c r="F15" s="102"/>
      <c r="G15" s="102"/>
      <c r="H15" s="102"/>
      <c r="I15" s="102"/>
      <c r="J15" s="110"/>
      <c r="L15" s="116">
        <f>SUM(L13:L14)</f>
        <v>30767644.399999999</v>
      </c>
      <c r="M15" s="116">
        <f>SUM(M13:M14)</f>
        <v>9808965.3699999992</v>
      </c>
    </row>
    <row r="16" spans="1:13" ht="18" customHeight="1">
      <c r="A16" s="76" t="s">
        <v>78</v>
      </c>
      <c r="B16" s="55"/>
      <c r="C16" s="55"/>
      <c r="D16" s="55"/>
      <c r="E16" s="103"/>
      <c r="F16" s="103"/>
      <c r="G16" s="103"/>
      <c r="H16" s="103"/>
      <c r="I16" s="103"/>
      <c r="J16" s="113">
        <f>SUM(E16:I16)</f>
        <v>0</v>
      </c>
      <c r="K16" s="46">
        <v>11930281.960000001</v>
      </c>
    </row>
    <row r="17" spans="1:13" ht="18" customHeight="1">
      <c r="A17" s="77" t="s">
        <v>79</v>
      </c>
      <c r="B17" s="72"/>
      <c r="C17" s="72"/>
      <c r="D17" s="72"/>
      <c r="E17" s="94"/>
      <c r="F17" s="94"/>
      <c r="G17" s="94"/>
      <c r="H17" s="94"/>
      <c r="I17" s="94"/>
      <c r="J17" s="113">
        <f>SUM(E17:I17)</f>
        <v>0</v>
      </c>
      <c r="K17" s="173">
        <f>K16-J16</f>
        <v>11930281.960000001</v>
      </c>
      <c r="M17" s="109">
        <v>25936573.030000001</v>
      </c>
    </row>
    <row r="18" spans="1:13" ht="18" customHeight="1">
      <c r="A18" s="70" t="s">
        <v>7</v>
      </c>
      <c r="B18" s="72"/>
      <c r="C18" s="72"/>
      <c r="D18" s="72"/>
      <c r="E18" s="119">
        <f>SUM(E13:E17)</f>
        <v>501871.69215000002</v>
      </c>
      <c r="F18" s="119">
        <f t="shared" ref="F18:J18" si="0">SUM(F13:F17)</f>
        <v>1171033.94835</v>
      </c>
      <c r="G18" s="119">
        <f t="shared" si="0"/>
        <v>0</v>
      </c>
      <c r="H18" s="119">
        <f t="shared" si="0"/>
        <v>0</v>
      </c>
      <c r="I18" s="119">
        <f t="shared" si="0"/>
        <v>0</v>
      </c>
      <c r="J18" s="119">
        <f t="shared" si="0"/>
        <v>1672905.6405</v>
      </c>
      <c r="K18" s="166">
        <f t="shared" ref="K18:K40" si="1">SUM(E18:I18)</f>
        <v>1672905.6405</v>
      </c>
      <c r="L18" s="193" t="s">
        <v>171</v>
      </c>
      <c r="M18" s="192">
        <f>397982215.65-364524102.84</f>
        <v>33458112.810000002</v>
      </c>
    </row>
    <row r="19" spans="1:13" s="109" customFormat="1" ht="18" customHeight="1">
      <c r="A19" s="74" t="s">
        <v>99</v>
      </c>
      <c r="B19" s="72" t="s">
        <v>100</v>
      </c>
      <c r="C19" s="72"/>
      <c r="D19" s="72"/>
      <c r="E19" s="94">
        <v>13595838.060000001</v>
      </c>
      <c r="F19" s="94">
        <v>21220741.140000001</v>
      </c>
      <c r="G19" s="94">
        <f>SUM('DRRM Funds June 2014'!G41)</f>
        <v>0</v>
      </c>
      <c r="H19" s="94">
        <f>SUM('DRRM Funds June 2014'!H41)</f>
        <v>10140</v>
      </c>
      <c r="I19" s="94">
        <f>SUM('DRRM Funds June 2014'!I41)</f>
        <v>0</v>
      </c>
      <c r="J19" s="94">
        <f>SUM(E19:I19)</f>
        <v>34826719.200000003</v>
      </c>
      <c r="K19" s="166">
        <f t="shared" si="1"/>
        <v>34826719.200000003</v>
      </c>
      <c r="L19" s="194">
        <v>0.05</v>
      </c>
      <c r="M19" s="192">
        <f>M18*0.05</f>
        <v>1672905.6405000002</v>
      </c>
    </row>
    <row r="20" spans="1:13" s="109" customFormat="1" ht="18" customHeight="1">
      <c r="A20" s="70" t="s">
        <v>101</v>
      </c>
      <c r="B20" s="122"/>
      <c r="C20" s="72"/>
      <c r="D20" s="72"/>
      <c r="E20" s="119">
        <f>SUM(E18:E19)</f>
        <v>14097709.752150001</v>
      </c>
      <c r="F20" s="119">
        <f t="shared" ref="F20:J20" si="2">SUM(F18:F19)</f>
        <v>22391775.088350002</v>
      </c>
      <c r="G20" s="119">
        <f t="shared" si="2"/>
        <v>0</v>
      </c>
      <c r="H20" s="119">
        <f t="shared" si="2"/>
        <v>10140</v>
      </c>
      <c r="I20" s="119">
        <f t="shared" si="2"/>
        <v>0</v>
      </c>
      <c r="J20" s="119">
        <f t="shared" si="2"/>
        <v>36499624.840500005</v>
      </c>
      <c r="K20" s="166">
        <f t="shared" si="1"/>
        <v>36499624.840500005</v>
      </c>
    </row>
    <row r="21" spans="1:13" ht="18" customHeight="1">
      <c r="A21" s="70" t="s">
        <v>15</v>
      </c>
      <c r="B21" s="72"/>
      <c r="C21" s="72"/>
      <c r="D21" s="72"/>
      <c r="E21" s="94"/>
      <c r="F21" s="94"/>
      <c r="G21" s="94"/>
      <c r="H21" s="94"/>
      <c r="I21" s="94"/>
      <c r="J21" s="111"/>
      <c r="K21" s="166">
        <f t="shared" si="1"/>
        <v>0</v>
      </c>
      <c r="M21" s="109">
        <v>26972032.48</v>
      </c>
    </row>
    <row r="22" spans="1:13" ht="18" customHeight="1">
      <c r="A22" s="78" t="s">
        <v>16</v>
      </c>
      <c r="B22" s="72"/>
      <c r="C22" s="72"/>
      <c r="D22" s="72"/>
      <c r="E22" s="94"/>
      <c r="F22" s="94"/>
      <c r="G22" s="94"/>
      <c r="H22" s="94"/>
      <c r="I22" s="94"/>
      <c r="J22" s="114">
        <f t="shared" ref="J22" si="3">SUM(E22:I22)</f>
        <v>0</v>
      </c>
      <c r="K22" s="166">
        <f t="shared" si="1"/>
        <v>0</v>
      </c>
      <c r="L22" s="176">
        <f>518731460.56*0.05</f>
        <v>25936573.028000001</v>
      </c>
      <c r="M22" s="109">
        <v>10934284.82</v>
      </c>
    </row>
    <row r="23" spans="1:13" ht="18" customHeight="1">
      <c r="A23" s="78" t="s">
        <v>70</v>
      </c>
      <c r="B23" s="72"/>
      <c r="C23" s="72"/>
      <c r="D23" s="72"/>
      <c r="E23" s="94"/>
      <c r="F23" s="94">
        <v>336845</v>
      </c>
      <c r="G23" s="94"/>
      <c r="H23" s="94"/>
      <c r="I23" s="94"/>
      <c r="J23" s="114">
        <f>SUM(E23:I23)</f>
        <v>336845</v>
      </c>
      <c r="K23" s="166">
        <f t="shared" si="1"/>
        <v>336845</v>
      </c>
      <c r="L23" s="109" t="e">
        <f>L22-K13</f>
        <v>#REF!</v>
      </c>
      <c r="M23" s="109">
        <f>M21-M22</f>
        <v>16037747.66</v>
      </c>
    </row>
    <row r="24" spans="1:13" ht="18" customHeight="1">
      <c r="A24" s="78" t="s">
        <v>71</v>
      </c>
      <c r="B24" s="72"/>
      <c r="C24" s="72"/>
      <c r="D24" s="72"/>
      <c r="E24" s="94"/>
      <c r="F24" s="94">
        <v>363198.77</v>
      </c>
      <c r="G24" s="94"/>
      <c r="H24" s="94"/>
      <c r="I24" s="94"/>
      <c r="J24" s="114">
        <f t="shared" ref="J24:J37" si="4">SUM(E24:I24)</f>
        <v>363198.77</v>
      </c>
      <c r="K24" s="166">
        <f t="shared" si="1"/>
        <v>363198.77</v>
      </c>
    </row>
    <row r="25" spans="1:13" ht="18" customHeight="1">
      <c r="A25" s="79" t="s">
        <v>91</v>
      </c>
      <c r="B25" s="72"/>
      <c r="C25" s="72"/>
      <c r="D25" s="72"/>
      <c r="E25" s="94"/>
      <c r="F25" s="94">
        <v>89411.8</v>
      </c>
      <c r="G25" s="94"/>
      <c r="H25" s="94"/>
      <c r="I25" s="94"/>
      <c r="J25" s="114">
        <f t="shared" si="4"/>
        <v>89411.8</v>
      </c>
      <c r="K25" s="166">
        <f t="shared" si="1"/>
        <v>89411.8</v>
      </c>
    </row>
    <row r="26" spans="1:13" ht="18" customHeight="1">
      <c r="A26" s="78" t="s">
        <v>17</v>
      </c>
      <c r="B26" s="72"/>
      <c r="C26" s="72"/>
      <c r="D26" s="72"/>
      <c r="E26" s="94"/>
      <c r="F26" s="94"/>
      <c r="G26" s="94"/>
      <c r="H26" s="94"/>
      <c r="I26" s="94"/>
      <c r="J26" s="114">
        <f t="shared" si="4"/>
        <v>0</v>
      </c>
      <c r="K26" s="166">
        <f t="shared" si="1"/>
        <v>0</v>
      </c>
    </row>
    <row r="27" spans="1:13" ht="18" customHeight="1">
      <c r="A27" s="78" t="s">
        <v>18</v>
      </c>
      <c r="B27" s="72"/>
      <c r="C27" s="72"/>
      <c r="D27" s="72"/>
      <c r="E27" s="94"/>
      <c r="F27" s="94"/>
      <c r="G27" s="94"/>
      <c r="H27" s="94"/>
      <c r="I27" s="94"/>
      <c r="J27" s="114">
        <f t="shared" si="4"/>
        <v>0</v>
      </c>
      <c r="K27" s="166">
        <f t="shared" si="1"/>
        <v>0</v>
      </c>
      <c r="L27" s="118" t="s">
        <v>162</v>
      </c>
    </row>
    <row r="28" spans="1:13" ht="18" customHeight="1">
      <c r="A28" s="78" t="s">
        <v>102</v>
      </c>
      <c r="B28" s="72"/>
      <c r="C28" s="72"/>
      <c r="D28" s="72"/>
      <c r="E28" s="94"/>
      <c r="F28" s="94"/>
      <c r="G28" s="94"/>
      <c r="H28" s="94"/>
      <c r="I28" s="94"/>
      <c r="J28" s="114">
        <f t="shared" si="4"/>
        <v>0</v>
      </c>
      <c r="K28" s="166">
        <f t="shared" si="1"/>
        <v>0</v>
      </c>
      <c r="L28" s="109">
        <f>SUM(F27:F28)</f>
        <v>0</v>
      </c>
    </row>
    <row r="29" spans="1:13" ht="18" customHeight="1">
      <c r="A29" s="78" t="s">
        <v>19</v>
      </c>
      <c r="B29" s="72"/>
      <c r="C29" s="72"/>
      <c r="D29" s="72"/>
      <c r="E29" s="94"/>
      <c r="F29" s="94"/>
      <c r="G29" s="94"/>
      <c r="H29" s="94"/>
      <c r="I29" s="94"/>
      <c r="J29" s="114">
        <f t="shared" si="4"/>
        <v>0</v>
      </c>
      <c r="K29" s="166">
        <f t="shared" si="1"/>
        <v>0</v>
      </c>
      <c r="L29" s="109">
        <v>147060</v>
      </c>
    </row>
    <row r="30" spans="1:13" ht="18" customHeight="1">
      <c r="A30" s="78" t="s">
        <v>168</v>
      </c>
      <c r="B30" s="72"/>
      <c r="C30" s="72"/>
      <c r="D30" s="72"/>
      <c r="E30" s="94"/>
      <c r="F30" s="94"/>
      <c r="G30" s="94"/>
      <c r="H30" s="94"/>
      <c r="I30" s="94"/>
      <c r="J30" s="114">
        <f t="shared" si="4"/>
        <v>0</v>
      </c>
      <c r="K30" s="166">
        <f t="shared" si="1"/>
        <v>0</v>
      </c>
    </row>
    <row r="31" spans="1:13" ht="18" customHeight="1">
      <c r="A31" s="78" t="s">
        <v>98</v>
      </c>
      <c r="B31" s="72"/>
      <c r="C31" s="72"/>
      <c r="D31" s="72"/>
      <c r="E31" s="94">
        <v>778000.95</v>
      </c>
      <c r="F31" s="94"/>
      <c r="G31" s="94"/>
      <c r="H31" s="94"/>
      <c r="I31" s="94"/>
      <c r="J31" s="114">
        <f t="shared" si="4"/>
        <v>778000.95</v>
      </c>
      <c r="K31" s="166">
        <f t="shared" si="1"/>
        <v>778000.95</v>
      </c>
      <c r="L31" s="109">
        <v>1555500</v>
      </c>
    </row>
    <row r="32" spans="1:13" ht="18" customHeight="1">
      <c r="A32" s="78"/>
      <c r="B32" s="72" t="s">
        <v>5</v>
      </c>
      <c r="C32" s="72"/>
      <c r="D32" s="72"/>
      <c r="E32" s="94"/>
      <c r="F32" s="94"/>
      <c r="G32" s="94"/>
      <c r="H32" s="94"/>
      <c r="I32" s="94"/>
      <c r="J32" s="114">
        <f t="shared" si="4"/>
        <v>0</v>
      </c>
      <c r="K32" s="166">
        <f t="shared" si="1"/>
        <v>0</v>
      </c>
      <c r="L32" s="109">
        <v>229640</v>
      </c>
      <c r="M32" s="109">
        <v>2313123</v>
      </c>
    </row>
    <row r="33" spans="1:14" ht="18" customHeight="1">
      <c r="A33" s="78"/>
      <c r="B33" s="72" t="s">
        <v>97</v>
      </c>
      <c r="C33" s="72"/>
      <c r="D33" s="72"/>
      <c r="E33" s="94"/>
      <c r="F33" s="94"/>
      <c r="G33" s="94"/>
      <c r="H33" s="94"/>
      <c r="I33" s="94"/>
      <c r="J33" s="114">
        <f t="shared" si="4"/>
        <v>0</v>
      </c>
      <c r="K33" s="166">
        <f t="shared" si="1"/>
        <v>0</v>
      </c>
      <c r="L33" s="109">
        <v>2209000</v>
      </c>
    </row>
    <row r="34" spans="1:14" ht="18" customHeight="1">
      <c r="A34" s="78" t="s">
        <v>75</v>
      </c>
      <c r="B34" s="72"/>
      <c r="C34" s="72"/>
      <c r="D34" s="72"/>
      <c r="E34" s="94"/>
      <c r="F34" s="94"/>
      <c r="G34" s="94"/>
      <c r="H34" s="94"/>
      <c r="I34" s="94"/>
      <c r="J34" s="114">
        <f t="shared" si="4"/>
        <v>0</v>
      </c>
      <c r="K34" s="166">
        <f t="shared" si="1"/>
        <v>0</v>
      </c>
      <c r="L34" s="109">
        <v>173800</v>
      </c>
    </row>
    <row r="35" spans="1:14" ht="18" customHeight="1">
      <c r="A35" s="79" t="s">
        <v>94</v>
      </c>
      <c r="B35" s="72"/>
      <c r="C35" s="72"/>
      <c r="D35" s="72"/>
      <c r="E35" s="94"/>
      <c r="F35" s="94"/>
      <c r="G35" s="94"/>
      <c r="H35" s="94"/>
      <c r="I35" s="94"/>
      <c r="J35" s="114">
        <f t="shared" si="4"/>
        <v>0</v>
      </c>
      <c r="K35" s="166">
        <f t="shared" si="1"/>
        <v>0</v>
      </c>
      <c r="L35" s="109">
        <v>177000</v>
      </c>
    </row>
    <row r="36" spans="1:14" ht="18" customHeight="1">
      <c r="A36" s="79" t="s">
        <v>95</v>
      </c>
      <c r="B36" s="72"/>
      <c r="C36" s="72"/>
      <c r="D36" s="72"/>
      <c r="E36" s="94"/>
      <c r="F36" s="94"/>
      <c r="G36" s="94"/>
      <c r="H36" s="94"/>
      <c r="I36" s="94"/>
      <c r="J36" s="114">
        <f t="shared" si="4"/>
        <v>0</v>
      </c>
      <c r="K36" s="166">
        <f t="shared" si="1"/>
        <v>0</v>
      </c>
      <c r="L36" s="109">
        <v>204055</v>
      </c>
    </row>
    <row r="37" spans="1:14" ht="18" customHeight="1">
      <c r="A37" s="78" t="s">
        <v>96</v>
      </c>
      <c r="B37" s="72"/>
      <c r="C37" s="72"/>
      <c r="D37" s="72"/>
      <c r="E37" s="94"/>
      <c r="F37" s="94"/>
      <c r="G37" s="94"/>
      <c r="H37" s="94"/>
      <c r="I37" s="94"/>
      <c r="J37" s="114">
        <f t="shared" si="4"/>
        <v>0</v>
      </c>
      <c r="K37" s="166">
        <f t="shared" si="1"/>
        <v>0</v>
      </c>
      <c r="L37" s="109">
        <v>71070</v>
      </c>
    </row>
    <row r="38" spans="1:14" ht="18" customHeight="1">
      <c r="A38" s="84" t="s">
        <v>92</v>
      </c>
      <c r="B38" s="63"/>
      <c r="C38" s="63"/>
      <c r="D38" s="63"/>
      <c r="E38" s="94">
        <f t="shared" ref="E38:J38" si="5">SUM(E22:E37)</f>
        <v>778000.95</v>
      </c>
      <c r="F38" s="94">
        <f t="shared" si="5"/>
        <v>789455.57000000007</v>
      </c>
      <c r="G38" s="94">
        <f t="shared" si="5"/>
        <v>0</v>
      </c>
      <c r="H38" s="94">
        <f t="shared" si="5"/>
        <v>0</v>
      </c>
      <c r="I38" s="94">
        <f t="shared" si="5"/>
        <v>0</v>
      </c>
      <c r="J38" s="94">
        <f t="shared" si="5"/>
        <v>1567456.52</v>
      </c>
      <c r="K38" s="166">
        <f t="shared" si="1"/>
        <v>1567456.52</v>
      </c>
      <c r="L38" s="109">
        <v>27800</v>
      </c>
      <c r="M38" s="46"/>
    </row>
    <row r="39" spans="1:14" ht="18" customHeight="1">
      <c r="A39" s="84" t="s">
        <v>103</v>
      </c>
      <c r="B39" s="63"/>
      <c r="C39" s="63"/>
      <c r="D39" s="63"/>
      <c r="E39" s="103">
        <f>SUM('DRRM Funds June 2014'!E40)</f>
        <v>28983</v>
      </c>
      <c r="F39" s="103">
        <v>7465209.7400000002</v>
      </c>
      <c r="G39" s="103">
        <f>SUM('DRRM Funds June 2014'!G40)</f>
        <v>0</v>
      </c>
      <c r="H39" s="103">
        <f>SUM('DRRM Funds June 2014'!H40)</f>
        <v>0</v>
      </c>
      <c r="I39" s="103">
        <f>SUM('DRRM Funds June 2014'!I40)</f>
        <v>0</v>
      </c>
      <c r="J39" s="103">
        <v>7494192.7400000002</v>
      </c>
      <c r="K39" s="166">
        <f t="shared" si="1"/>
        <v>7494192.7400000002</v>
      </c>
      <c r="L39" s="109">
        <v>126865</v>
      </c>
      <c r="M39" s="109">
        <f>SUM(E39:H39)</f>
        <v>7494192.7400000002</v>
      </c>
    </row>
    <row r="40" spans="1:14" ht="18" customHeight="1">
      <c r="A40" s="84" t="s">
        <v>104</v>
      </c>
      <c r="B40" s="63"/>
      <c r="C40" s="63"/>
      <c r="D40" s="63"/>
      <c r="E40" s="103">
        <f>SUM(E38:E39)</f>
        <v>806983.95</v>
      </c>
      <c r="F40" s="103">
        <f>SUM(F38:F39)</f>
        <v>8254665.3100000005</v>
      </c>
      <c r="G40" s="103">
        <f t="shared" ref="G40:J40" si="6">SUM(G38:G39)</f>
        <v>0</v>
      </c>
      <c r="H40" s="103">
        <f t="shared" si="6"/>
        <v>0</v>
      </c>
      <c r="I40" s="103">
        <f t="shared" si="6"/>
        <v>0</v>
      </c>
      <c r="J40" s="103">
        <f t="shared" si="6"/>
        <v>9061649.2599999998</v>
      </c>
      <c r="K40" s="166">
        <f t="shared" si="1"/>
        <v>9061649.2599999998</v>
      </c>
      <c r="L40" s="174">
        <f>SUM(L28:L39)</f>
        <v>4921790</v>
      </c>
      <c r="M40" s="109">
        <v>10492358.970000001</v>
      </c>
    </row>
    <row r="41" spans="1:14" ht="18" customHeight="1">
      <c r="A41" s="70" t="s">
        <v>93</v>
      </c>
      <c r="B41" s="72"/>
      <c r="C41" s="72"/>
      <c r="D41" s="80"/>
      <c r="E41" s="120">
        <f>E20-E38</f>
        <v>13319708.802150002</v>
      </c>
      <c r="F41" s="120">
        <f t="shared" ref="F41:J41" si="7">F20-F38</f>
        <v>21602319.518350001</v>
      </c>
      <c r="G41" s="120">
        <f t="shared" si="7"/>
        <v>0</v>
      </c>
      <c r="H41" s="120">
        <f t="shared" si="7"/>
        <v>10140</v>
      </c>
      <c r="I41" s="120">
        <f t="shared" si="7"/>
        <v>0</v>
      </c>
      <c r="J41" s="120">
        <f t="shared" si="7"/>
        <v>34932168.320500001</v>
      </c>
      <c r="K41" s="166">
        <f>SUM(E41:I41)</f>
        <v>34932168.320500001</v>
      </c>
      <c r="L41" s="46"/>
      <c r="M41" s="109">
        <f>M40-L40</f>
        <v>5570568.9700000007</v>
      </c>
    </row>
    <row r="42" spans="1:14" ht="18" customHeight="1">
      <c r="A42" s="55"/>
      <c r="B42" s="55"/>
      <c r="C42" s="55"/>
      <c r="D42" s="55"/>
      <c r="E42" s="55"/>
      <c r="F42" s="55"/>
      <c r="G42" s="55"/>
      <c r="H42" s="55"/>
      <c r="I42" s="55"/>
      <c r="J42" s="115" t="s">
        <v>74</v>
      </c>
      <c r="K42" s="92">
        <f>SUM(E41:F41)</f>
        <v>34922028.320500001</v>
      </c>
      <c r="M42" s="109">
        <v>0</v>
      </c>
    </row>
    <row r="43" spans="1:14" ht="18" customHeight="1">
      <c r="A43" s="55"/>
      <c r="B43" s="55"/>
      <c r="C43" s="55"/>
      <c r="D43" s="55"/>
      <c r="E43" s="55"/>
      <c r="F43" s="55"/>
      <c r="G43" s="55"/>
      <c r="H43" s="92"/>
      <c r="I43" s="55"/>
      <c r="J43" s="115"/>
      <c r="K43" s="55"/>
      <c r="M43" s="109">
        <v>289860</v>
      </c>
    </row>
    <row r="44" spans="1:14" ht="18" customHeight="1">
      <c r="A44" s="55"/>
      <c r="B44" s="55"/>
      <c r="C44" s="55"/>
      <c r="D44" s="55"/>
      <c r="E44" s="55"/>
      <c r="F44" s="55"/>
      <c r="G44" s="55"/>
      <c r="H44" s="55"/>
      <c r="I44" s="55"/>
      <c r="J44" s="115"/>
      <c r="K44" s="92">
        <f>SUM(E40:F40)</f>
        <v>9061649.2599999998</v>
      </c>
      <c r="M44" s="109">
        <f>SUM(M41:M43)</f>
        <v>5860428.9700000007</v>
      </c>
      <c r="N44" s="173">
        <f>SUM(L40+M44)</f>
        <v>10782218.970000001</v>
      </c>
    </row>
    <row r="45" spans="1:14">
      <c r="A45" s="55" t="s">
        <v>83</v>
      </c>
      <c r="B45" s="55"/>
      <c r="C45" s="55"/>
      <c r="D45" s="55"/>
      <c r="E45" s="55"/>
      <c r="F45" s="55"/>
      <c r="G45" s="55"/>
      <c r="H45" s="55" t="s">
        <v>29</v>
      </c>
      <c r="I45" s="55"/>
      <c r="J45" s="115"/>
      <c r="K45" s="55"/>
      <c r="L45" s="109">
        <v>752760</v>
      </c>
    </row>
    <row r="46" spans="1:14">
      <c r="A46" s="55"/>
      <c r="B46" s="55"/>
      <c r="C46" s="55"/>
      <c r="D46" s="55"/>
      <c r="E46" s="55"/>
      <c r="F46" s="55"/>
      <c r="G46" s="55"/>
      <c r="H46" s="55"/>
      <c r="I46" s="55"/>
      <c r="J46" s="115"/>
      <c r="K46" s="55"/>
      <c r="L46" s="109">
        <v>902075</v>
      </c>
    </row>
    <row r="47" spans="1:14">
      <c r="A47" s="55"/>
      <c r="B47" s="55"/>
      <c r="C47" s="55"/>
      <c r="D47" s="55"/>
      <c r="E47" s="55"/>
      <c r="F47" s="55"/>
      <c r="G47" s="55"/>
      <c r="H47" s="172"/>
      <c r="I47" s="55"/>
      <c r="J47" s="115"/>
      <c r="K47" s="55"/>
      <c r="L47" s="109">
        <v>1032329.7</v>
      </c>
      <c r="M47" s="109">
        <v>1897753.11</v>
      </c>
    </row>
    <row r="48" spans="1:14">
      <c r="A48" s="55" t="s">
        <v>202</v>
      </c>
      <c r="B48" s="55"/>
      <c r="C48" s="55"/>
      <c r="D48" s="55"/>
      <c r="E48" s="55"/>
      <c r="F48" s="55"/>
      <c r="G48" s="55"/>
      <c r="H48" s="140" t="s">
        <v>194</v>
      </c>
      <c r="I48" s="55"/>
      <c r="J48" s="115"/>
      <c r="K48" s="55"/>
      <c r="L48" s="109">
        <v>504234.65</v>
      </c>
      <c r="M48" s="109">
        <v>8736531.7100000009</v>
      </c>
    </row>
    <row r="49" spans="1:13">
      <c r="A49" s="140" t="s">
        <v>203</v>
      </c>
      <c r="B49" s="55"/>
      <c r="C49" s="55"/>
      <c r="D49" s="55"/>
      <c r="E49" s="55"/>
      <c r="F49" s="55"/>
      <c r="G49" s="55"/>
      <c r="H49" s="140" t="s">
        <v>195</v>
      </c>
      <c r="I49" s="55"/>
      <c r="J49" s="115"/>
      <c r="K49" s="55"/>
      <c r="L49" s="109">
        <v>899145</v>
      </c>
      <c r="M49" s="109">
        <v>10140</v>
      </c>
    </row>
    <row r="50" spans="1:13">
      <c r="A50" s="55"/>
      <c r="B50" s="55"/>
      <c r="C50" s="55"/>
      <c r="D50" s="55"/>
      <c r="E50" s="121"/>
      <c r="F50" s="55"/>
      <c r="G50" s="55"/>
      <c r="H50" s="55"/>
      <c r="I50" s="55"/>
      <c r="J50" s="115"/>
      <c r="K50" s="55"/>
      <c r="L50" s="109">
        <v>1087927.3999999999</v>
      </c>
      <c r="M50" s="109">
        <f>SUM(M47:M49)</f>
        <v>10644424.82</v>
      </c>
    </row>
    <row r="51" spans="1:13">
      <c r="A51" s="55"/>
      <c r="B51" s="55"/>
      <c r="C51" s="55"/>
      <c r="D51" s="55"/>
      <c r="E51" s="115"/>
      <c r="F51" s="55"/>
      <c r="G51" s="55"/>
      <c r="H51" s="55"/>
      <c r="I51" s="115"/>
      <c r="J51" s="115"/>
      <c r="K51" s="55"/>
      <c r="L51" s="109">
        <v>2896515.5</v>
      </c>
    </row>
    <row r="52" spans="1:13">
      <c r="A52" s="55"/>
      <c r="B52" s="55"/>
      <c r="C52" s="55"/>
      <c r="D52" s="55"/>
      <c r="E52" s="55"/>
      <c r="F52" s="55"/>
      <c r="G52" s="55"/>
      <c r="H52" s="55"/>
      <c r="I52" s="115"/>
      <c r="J52" s="115"/>
      <c r="K52" s="55"/>
      <c r="L52" s="109">
        <v>120000</v>
      </c>
    </row>
    <row r="53" spans="1:13">
      <c r="I53" s="109"/>
      <c r="M53" s="46"/>
    </row>
    <row r="54" spans="1:13">
      <c r="F54" s="121">
        <f>F18-F55</f>
        <v>-1004120.3516499999</v>
      </c>
      <c r="I54" s="109"/>
      <c r="K54" s="55"/>
      <c r="L54" s="115">
        <v>630000</v>
      </c>
      <c r="M54" s="183">
        <v>10644424.82</v>
      </c>
    </row>
    <row r="55" spans="1:13">
      <c r="F55" s="115">
        <f>49980+103610+255752.8+265335+81917.75+32889+315132+287135.25+143400+640002.5</f>
        <v>2175154.2999999998</v>
      </c>
      <c r="I55" s="109"/>
      <c r="J55" s="109">
        <v>7850000</v>
      </c>
      <c r="L55" s="109">
        <v>1000000</v>
      </c>
      <c r="M55" s="183">
        <v>13157941.960000001</v>
      </c>
    </row>
    <row r="56" spans="1:13">
      <c r="I56" s="109"/>
      <c r="J56" s="109">
        <v>800000</v>
      </c>
      <c r="L56" s="109">
        <v>1300000</v>
      </c>
      <c r="M56" s="184">
        <v>0</v>
      </c>
    </row>
    <row r="57" spans="1:13">
      <c r="I57" s="109"/>
      <c r="J57" s="109">
        <v>1200000</v>
      </c>
      <c r="L57" s="109">
        <v>2000000</v>
      </c>
      <c r="M57" s="183">
        <f>SUM(M54:M56)</f>
        <v>23802366.780000001</v>
      </c>
    </row>
    <row r="58" spans="1:13">
      <c r="I58" s="109"/>
      <c r="J58" s="109">
        <v>3500000</v>
      </c>
      <c r="L58" s="109">
        <v>150000</v>
      </c>
      <c r="M58" s="183">
        <v>24092226.780000001</v>
      </c>
    </row>
    <row r="59" spans="1:13">
      <c r="I59" s="109">
        <v>100000</v>
      </c>
      <c r="J59" s="116">
        <f>SUM(J55:J58)</f>
        <v>13350000</v>
      </c>
      <c r="L59" s="109">
        <v>4590281.96</v>
      </c>
      <c r="M59" s="183">
        <f>M58-M57</f>
        <v>289860</v>
      </c>
    </row>
    <row r="60" spans="1:13">
      <c r="I60" s="109">
        <v>4589687.1100000003</v>
      </c>
      <c r="J60" s="109">
        <v>16829861.079999998</v>
      </c>
      <c r="L60" s="109">
        <f>SUM(L54:L59)</f>
        <v>9670281.9600000009</v>
      </c>
      <c r="M60" s="46"/>
    </row>
    <row r="61" spans="1:13">
      <c r="I61" s="116">
        <f>SUM(I55:I60)</f>
        <v>4689687.1100000003</v>
      </c>
      <c r="J61" s="109">
        <f>J59-J60</f>
        <v>-3479861.0799999982</v>
      </c>
      <c r="M61" s="109">
        <v>24416573.030000001</v>
      </c>
    </row>
    <row r="62" spans="1:13">
      <c r="I62" s="109">
        <v>7212797.6100000003</v>
      </c>
      <c r="M62" s="109">
        <v>24708913.030000001</v>
      </c>
    </row>
    <row r="63" spans="1:13">
      <c r="I63" s="109">
        <f>I61-I62</f>
        <v>-2523110.5</v>
      </c>
      <c r="M63" s="109">
        <f>M61-M62</f>
        <v>-292340</v>
      </c>
    </row>
    <row r="64" spans="1:13">
      <c r="I64" s="109"/>
      <c r="M64" s="109">
        <v>289860</v>
      </c>
    </row>
    <row r="65" spans="1:13">
      <c r="I65" s="109"/>
      <c r="J65" s="109">
        <v>25346381.800000001</v>
      </c>
      <c r="M65" s="173">
        <f>SUM(M63:M64)</f>
        <v>-2480</v>
      </c>
    </row>
    <row r="66" spans="1:13">
      <c r="I66" s="109"/>
      <c r="J66" s="109">
        <v>24042658.690000001</v>
      </c>
      <c r="M66" s="46"/>
    </row>
    <row r="67" spans="1:13">
      <c r="I67" s="109"/>
      <c r="J67" s="109">
        <f>J65-J66</f>
        <v>1303723.1099999994</v>
      </c>
      <c r="L67" s="109">
        <v>400000</v>
      </c>
      <c r="M67" s="46"/>
    </row>
    <row r="68" spans="1:13">
      <c r="I68" s="109"/>
      <c r="L68" s="109">
        <v>1000000</v>
      </c>
      <c r="M68" s="109">
        <v>25279.7</v>
      </c>
    </row>
    <row r="69" spans="1:13">
      <c r="I69" s="109"/>
      <c r="M69" s="109">
        <v>27759.7</v>
      </c>
    </row>
    <row r="70" spans="1:13">
      <c r="H70" s="109"/>
      <c r="I70" s="109"/>
      <c r="M70" s="173">
        <f>M68-M69</f>
        <v>-2480</v>
      </c>
    </row>
    <row r="71" spans="1:13">
      <c r="H71" s="109">
        <v>4455551.57</v>
      </c>
      <c r="I71" s="109"/>
      <c r="J71" s="109">
        <v>17496381.800000001</v>
      </c>
      <c r="M71" s="46"/>
    </row>
    <row r="72" spans="1:13">
      <c r="H72" s="109">
        <v>5760963.6399999997</v>
      </c>
      <c r="I72" s="109"/>
      <c r="J72" s="109">
        <v>7850000</v>
      </c>
      <c r="M72" s="46"/>
    </row>
    <row r="73" spans="1:13">
      <c r="H73" s="109">
        <f>SUM(H71:H72)</f>
        <v>10216515.210000001</v>
      </c>
      <c r="I73" s="109"/>
      <c r="J73" s="109">
        <f>SUM(J71:J72)</f>
        <v>25346381.800000001</v>
      </c>
      <c r="M73" s="46"/>
    </row>
    <row r="74" spans="1:13" s="109" customFormat="1">
      <c r="A74" s="46"/>
      <c r="B74" s="46"/>
      <c r="C74" s="46"/>
      <c r="D74" s="46"/>
      <c r="E74" s="46"/>
      <c r="F74" s="46"/>
      <c r="G74" s="46"/>
    </row>
    <row r="75" spans="1:13" s="109" customFormat="1">
      <c r="A75" s="46"/>
      <c r="B75" s="46"/>
      <c r="C75" s="46"/>
      <c r="D75" s="46"/>
      <c r="E75" s="46"/>
      <c r="F75" s="46"/>
      <c r="G75" s="46"/>
    </row>
    <row r="76" spans="1:13" s="109" customFormat="1">
      <c r="A76" s="46"/>
      <c r="B76" s="46"/>
      <c r="C76" s="46"/>
      <c r="D76" s="46"/>
      <c r="E76" s="46"/>
      <c r="F76" s="46"/>
      <c r="G76" s="46"/>
    </row>
    <row r="77" spans="1:13" s="109" customFormat="1">
      <c r="A77" s="46"/>
      <c r="B77" s="46"/>
      <c r="C77" s="46"/>
      <c r="D77" s="46"/>
      <c r="E77" s="46"/>
      <c r="F77" s="46"/>
      <c r="G77" s="46"/>
    </row>
    <row r="78" spans="1:13" s="109" customFormat="1">
      <c r="A78" s="46"/>
      <c r="B78" s="46"/>
      <c r="C78" s="46"/>
      <c r="D78" s="46"/>
      <c r="E78" s="46"/>
      <c r="F78" s="46"/>
      <c r="G78" s="46"/>
    </row>
    <row r="79" spans="1:13" s="109" customFormat="1">
      <c r="A79" s="46"/>
      <c r="B79" s="46"/>
      <c r="C79" s="46"/>
      <c r="D79" s="46"/>
      <c r="E79" s="46"/>
      <c r="F79" s="46"/>
      <c r="G79" s="46"/>
    </row>
    <row r="80" spans="1:13" s="109" customFormat="1">
      <c r="A80" s="46"/>
      <c r="B80" s="46"/>
      <c r="C80" s="46"/>
      <c r="D80" s="46"/>
      <c r="E80" s="46"/>
      <c r="F80" s="46"/>
      <c r="G80" s="46"/>
      <c r="H80" s="46"/>
    </row>
    <row r="81" spans="1:11" s="109" customFormat="1">
      <c r="A81" s="46"/>
      <c r="B81" s="46"/>
      <c r="C81" s="46"/>
      <c r="D81" s="46"/>
      <c r="E81" s="46"/>
      <c r="F81" s="46"/>
      <c r="G81" s="46"/>
      <c r="H81" s="46"/>
    </row>
    <row r="82" spans="1:11" s="109" customFormat="1">
      <c r="A82" s="46"/>
      <c r="B82" s="46"/>
      <c r="C82" s="46"/>
      <c r="D82" s="46"/>
      <c r="E82" s="46"/>
      <c r="F82" s="46"/>
      <c r="G82" s="46"/>
      <c r="H82" s="46"/>
    </row>
    <row r="83" spans="1:11" s="109" customFormat="1">
      <c r="A83" s="46"/>
      <c r="B83" s="46"/>
      <c r="C83" s="46"/>
      <c r="D83" s="46"/>
      <c r="E83" s="46"/>
      <c r="F83" s="46"/>
      <c r="G83" s="46"/>
      <c r="H83" s="46"/>
    </row>
    <row r="84" spans="1:11" s="109" customFormat="1">
      <c r="A84" s="46"/>
      <c r="B84" s="46"/>
      <c r="C84" s="46"/>
      <c r="D84" s="46"/>
      <c r="E84" s="46"/>
      <c r="F84" s="46"/>
      <c r="G84" s="46"/>
      <c r="H84" s="46"/>
      <c r="K84" s="46"/>
    </row>
    <row r="85" spans="1:11" s="109" customFormat="1">
      <c r="A85" s="46"/>
      <c r="B85" s="46"/>
      <c r="C85" s="46"/>
      <c r="D85" s="46"/>
      <c r="E85" s="46"/>
      <c r="F85" s="46"/>
      <c r="G85" s="46"/>
      <c r="H85" s="46"/>
      <c r="K85" s="46"/>
    </row>
    <row r="86" spans="1:11" s="109" customFormat="1">
      <c r="A86" s="46"/>
      <c r="B86" s="46"/>
      <c r="C86" s="46"/>
      <c r="D86" s="46"/>
      <c r="E86" s="46"/>
      <c r="F86" s="46"/>
      <c r="G86" s="46"/>
      <c r="H86" s="46"/>
      <c r="K86" s="46"/>
    </row>
    <row r="87" spans="1:11" s="109" customFormat="1">
      <c r="A87" s="46"/>
      <c r="B87" s="46"/>
      <c r="C87" s="46"/>
      <c r="D87" s="46"/>
      <c r="E87" s="46"/>
      <c r="F87" s="46"/>
      <c r="G87" s="46"/>
      <c r="H87" s="46"/>
      <c r="K87" s="46"/>
    </row>
    <row r="88" spans="1:11" s="109" customFormat="1">
      <c r="A88" s="46"/>
      <c r="B88" s="46"/>
      <c r="C88" s="46"/>
      <c r="D88" s="46"/>
      <c r="E88" s="46"/>
      <c r="F88" s="46"/>
      <c r="G88" s="46"/>
      <c r="H88" s="46"/>
      <c r="K88" s="46"/>
    </row>
    <row r="89" spans="1:11" s="109" customFormat="1">
      <c r="A89" s="46"/>
      <c r="B89" s="46"/>
      <c r="C89" s="46"/>
      <c r="D89" s="46"/>
      <c r="E89" s="46"/>
      <c r="F89" s="46"/>
      <c r="G89" s="46"/>
      <c r="H89" s="46"/>
      <c r="K89" s="46"/>
    </row>
    <row r="90" spans="1:11" s="109" customFormat="1">
      <c r="A90" s="46"/>
      <c r="B90" s="46"/>
      <c r="C90" s="46"/>
      <c r="D90" s="46"/>
      <c r="E90" s="46"/>
      <c r="F90" s="46"/>
      <c r="G90" s="46"/>
      <c r="H90" s="46"/>
      <c r="K90" s="46"/>
    </row>
    <row r="91" spans="1:11" s="109" customFormat="1">
      <c r="A91" s="46"/>
      <c r="B91" s="46"/>
      <c r="C91" s="46"/>
      <c r="D91" s="46"/>
      <c r="E91" s="46"/>
      <c r="F91" s="46"/>
      <c r="G91" s="46"/>
      <c r="H91" s="46"/>
      <c r="K91" s="46"/>
    </row>
    <row r="92" spans="1:11" s="109" customFormat="1">
      <c r="A92" s="46"/>
      <c r="B92" s="46"/>
      <c r="C92" s="46"/>
      <c r="D92" s="46"/>
      <c r="E92" s="46"/>
      <c r="F92" s="46"/>
      <c r="G92" s="46"/>
      <c r="H92" s="46"/>
      <c r="K92" s="46"/>
    </row>
    <row r="93" spans="1:11" s="109" customFormat="1">
      <c r="A93" s="46"/>
      <c r="B93" s="46"/>
      <c r="C93" s="46"/>
      <c r="D93" s="46"/>
      <c r="E93" s="46"/>
      <c r="F93" s="46"/>
      <c r="G93" s="46"/>
      <c r="H93" s="46"/>
      <c r="K93" s="46"/>
    </row>
    <row r="94" spans="1:11" s="109" customFormat="1">
      <c r="A94" s="46"/>
      <c r="B94" s="46"/>
      <c r="C94" s="46"/>
      <c r="D94" s="46"/>
      <c r="E94" s="46"/>
      <c r="F94" s="46"/>
      <c r="G94" s="46"/>
      <c r="H94" s="46"/>
      <c r="K94" s="46"/>
    </row>
    <row r="95" spans="1:11" s="109" customFormat="1">
      <c r="A95" s="46"/>
      <c r="B95" s="46"/>
      <c r="C95" s="46"/>
      <c r="D95" s="46"/>
      <c r="E95" s="46"/>
      <c r="F95" s="46"/>
      <c r="G95" s="46"/>
      <c r="H95" s="46"/>
      <c r="K95" s="46"/>
    </row>
    <row r="96" spans="1:11" s="109" customFormat="1">
      <c r="A96" s="46"/>
      <c r="B96" s="46"/>
      <c r="C96" s="46"/>
      <c r="D96" s="46"/>
      <c r="E96" s="46"/>
      <c r="F96" s="46"/>
      <c r="G96" s="46"/>
      <c r="H96" s="46"/>
      <c r="K96" s="46"/>
    </row>
    <row r="97" spans="1:11" s="109" customFormat="1">
      <c r="A97" s="46"/>
      <c r="B97" s="46"/>
      <c r="C97" s="46"/>
      <c r="D97" s="46"/>
      <c r="E97" s="46"/>
      <c r="F97" s="46"/>
      <c r="G97" s="46"/>
      <c r="H97" s="46"/>
      <c r="K97" s="46"/>
    </row>
    <row r="98" spans="1:11" s="109" customFormat="1">
      <c r="A98" s="46"/>
      <c r="B98" s="46"/>
      <c r="C98" s="46"/>
      <c r="D98" s="46"/>
      <c r="E98" s="46"/>
      <c r="F98" s="46"/>
      <c r="G98" s="46"/>
      <c r="H98" s="46"/>
      <c r="K98" s="46"/>
    </row>
    <row r="99" spans="1:11" s="109" customFormat="1">
      <c r="A99" s="46"/>
      <c r="B99" s="46"/>
      <c r="C99" s="46"/>
      <c r="D99" s="46"/>
      <c r="E99" s="46"/>
      <c r="F99" s="46"/>
      <c r="G99" s="46"/>
      <c r="H99" s="46"/>
      <c r="K99" s="46"/>
    </row>
    <row r="100" spans="1:11" s="109" customFormat="1">
      <c r="A100" s="46"/>
      <c r="B100" s="46"/>
      <c r="C100" s="46"/>
      <c r="D100" s="46"/>
      <c r="E100" s="46"/>
      <c r="F100" s="46"/>
      <c r="G100" s="46"/>
      <c r="H100" s="46"/>
      <c r="K100" s="46"/>
    </row>
    <row r="101" spans="1:11" s="109" customFormat="1">
      <c r="A101" s="46"/>
      <c r="B101" s="46"/>
      <c r="C101" s="46"/>
      <c r="D101" s="46"/>
      <c r="E101" s="46"/>
      <c r="F101" s="46"/>
      <c r="G101" s="46"/>
      <c r="H101" s="46"/>
      <c r="K101" s="46"/>
    </row>
    <row r="102" spans="1:11" s="109" customFormat="1">
      <c r="A102" s="46"/>
      <c r="B102" s="46"/>
      <c r="C102" s="46"/>
      <c r="D102" s="46"/>
      <c r="E102" s="46"/>
      <c r="F102" s="46"/>
      <c r="G102" s="46"/>
      <c r="H102" s="46"/>
      <c r="K102" s="46"/>
    </row>
    <row r="103" spans="1:11" s="109" customFormat="1">
      <c r="A103" s="46"/>
      <c r="B103" s="46"/>
      <c r="C103" s="46"/>
      <c r="D103" s="46"/>
      <c r="E103" s="46"/>
      <c r="F103" s="46"/>
      <c r="G103" s="46"/>
      <c r="H103" s="46"/>
      <c r="K103" s="46"/>
    </row>
    <row r="104" spans="1:11" s="109" customFormat="1">
      <c r="A104" s="46"/>
      <c r="B104" s="46"/>
      <c r="C104" s="46"/>
      <c r="D104" s="46"/>
      <c r="E104" s="46"/>
      <c r="F104" s="46"/>
      <c r="G104" s="46"/>
      <c r="H104" s="46"/>
      <c r="K104" s="46"/>
    </row>
    <row r="105" spans="1:11" s="109" customFormat="1">
      <c r="A105" s="46"/>
      <c r="B105" s="46"/>
      <c r="C105" s="46"/>
      <c r="D105" s="46"/>
      <c r="E105" s="46"/>
      <c r="F105" s="46"/>
      <c r="G105" s="46"/>
      <c r="H105" s="46"/>
      <c r="K105" s="46"/>
    </row>
    <row r="106" spans="1:11" s="109" customFormat="1">
      <c r="A106" s="46"/>
      <c r="B106" s="46"/>
      <c r="C106" s="46"/>
      <c r="D106" s="46"/>
      <c r="E106" s="46"/>
      <c r="F106" s="46"/>
      <c r="G106" s="46"/>
      <c r="H106" s="46"/>
      <c r="K106" s="46"/>
    </row>
    <row r="107" spans="1:11" s="109" customFormat="1">
      <c r="A107" s="46"/>
      <c r="B107" s="46"/>
      <c r="C107" s="46"/>
      <c r="D107" s="46"/>
      <c r="E107" s="46"/>
      <c r="F107" s="46"/>
      <c r="G107" s="46"/>
      <c r="H107" s="46"/>
      <c r="K107" s="46"/>
    </row>
    <row r="108" spans="1:11" s="109" customFormat="1">
      <c r="A108" s="46"/>
      <c r="B108" s="46"/>
      <c r="C108" s="46"/>
      <c r="D108" s="46"/>
      <c r="E108" s="46"/>
      <c r="F108" s="46"/>
      <c r="G108" s="46"/>
      <c r="H108" s="46"/>
      <c r="K108" s="46"/>
    </row>
    <row r="109" spans="1:11" s="109" customFormat="1">
      <c r="A109" s="46"/>
      <c r="B109" s="46"/>
      <c r="C109" s="46"/>
      <c r="D109" s="46"/>
      <c r="E109" s="46"/>
      <c r="F109" s="46"/>
      <c r="G109" s="46"/>
      <c r="H109" s="46"/>
      <c r="K109" s="46"/>
    </row>
    <row r="110" spans="1:11" s="109" customFormat="1">
      <c r="A110" s="46"/>
      <c r="B110" s="46"/>
      <c r="C110" s="46"/>
      <c r="D110" s="46"/>
      <c r="E110" s="46"/>
      <c r="F110" s="46"/>
      <c r="G110" s="46"/>
      <c r="H110" s="46"/>
      <c r="K110" s="46"/>
    </row>
    <row r="111" spans="1:11" s="109" customFormat="1">
      <c r="A111" s="46"/>
      <c r="B111" s="46"/>
      <c r="C111" s="46"/>
      <c r="D111" s="46"/>
      <c r="E111" s="46"/>
      <c r="F111" s="46"/>
      <c r="G111" s="46"/>
      <c r="H111" s="46"/>
      <c r="K111" s="46"/>
    </row>
    <row r="112" spans="1:11" s="109" customFormat="1">
      <c r="A112" s="46"/>
      <c r="B112" s="46"/>
      <c r="C112" s="46"/>
      <c r="D112" s="46"/>
      <c r="E112" s="46"/>
      <c r="F112" s="46"/>
      <c r="G112" s="46"/>
      <c r="H112" s="46"/>
      <c r="K112" s="46"/>
    </row>
    <row r="113" spans="1:11" s="109" customFormat="1">
      <c r="A113" s="46"/>
      <c r="B113" s="46"/>
      <c r="C113" s="46"/>
      <c r="D113" s="46"/>
      <c r="E113" s="46"/>
      <c r="F113" s="46"/>
      <c r="G113" s="46"/>
      <c r="H113" s="46"/>
      <c r="K113" s="46"/>
    </row>
    <row r="114" spans="1:11" s="109" customFormat="1">
      <c r="A114" s="46"/>
      <c r="B114" s="46"/>
      <c r="C114" s="46"/>
      <c r="D114" s="46"/>
      <c r="E114" s="46"/>
      <c r="F114" s="46"/>
      <c r="G114" s="46"/>
      <c r="H114" s="46"/>
      <c r="K114" s="46"/>
    </row>
    <row r="115" spans="1:11" s="109" customFormat="1">
      <c r="A115" s="46"/>
      <c r="B115" s="46"/>
      <c r="C115" s="46"/>
      <c r="D115" s="46"/>
      <c r="E115" s="46"/>
      <c r="F115" s="46"/>
      <c r="G115" s="46"/>
      <c r="H115" s="46"/>
      <c r="K115" s="46"/>
    </row>
    <row r="116" spans="1:11" s="109" customFormat="1">
      <c r="A116" s="46"/>
      <c r="B116" s="46"/>
      <c r="C116" s="46"/>
      <c r="D116" s="46"/>
      <c r="E116" s="46"/>
      <c r="F116" s="46"/>
      <c r="G116" s="46"/>
      <c r="H116" s="46"/>
      <c r="K116" s="46"/>
    </row>
    <row r="117" spans="1:11" s="109" customFormat="1">
      <c r="A117" s="46"/>
      <c r="B117" s="46"/>
      <c r="C117" s="46"/>
      <c r="D117" s="46"/>
      <c r="E117" s="46"/>
      <c r="F117" s="46"/>
      <c r="G117" s="46"/>
      <c r="H117" s="46"/>
      <c r="K117" s="46"/>
    </row>
    <row r="118" spans="1:11" s="109" customFormat="1">
      <c r="A118" s="46"/>
      <c r="B118" s="46"/>
      <c r="C118" s="46"/>
      <c r="D118" s="46"/>
      <c r="E118" s="46"/>
      <c r="F118" s="46"/>
      <c r="G118" s="46"/>
      <c r="H118" s="46"/>
      <c r="K118" s="46"/>
    </row>
    <row r="119" spans="1:11" s="109" customFormat="1">
      <c r="A119" s="46"/>
      <c r="B119" s="46"/>
      <c r="C119" s="46"/>
      <c r="D119" s="46"/>
      <c r="E119" s="46"/>
      <c r="F119" s="46"/>
      <c r="G119" s="46"/>
      <c r="H119" s="46"/>
      <c r="K119" s="46"/>
    </row>
    <row r="120" spans="1:11" s="109" customFormat="1">
      <c r="A120" s="46"/>
      <c r="B120" s="46"/>
      <c r="C120" s="46"/>
      <c r="D120" s="46"/>
      <c r="E120" s="46"/>
      <c r="F120" s="46"/>
      <c r="G120" s="46"/>
      <c r="H120" s="46"/>
      <c r="K120" s="46"/>
    </row>
    <row r="121" spans="1:11" s="109" customFormat="1">
      <c r="A121" s="46"/>
      <c r="B121" s="46"/>
      <c r="C121" s="46"/>
      <c r="D121" s="46"/>
      <c r="E121" s="46"/>
      <c r="F121" s="46"/>
      <c r="G121" s="46"/>
      <c r="H121" s="46"/>
      <c r="K121" s="46"/>
    </row>
    <row r="122" spans="1:11" s="109" customFormat="1">
      <c r="A122" s="46"/>
      <c r="B122" s="46"/>
      <c r="C122" s="46"/>
      <c r="D122" s="46"/>
      <c r="E122" s="46"/>
      <c r="F122" s="46"/>
      <c r="G122" s="46"/>
      <c r="H122" s="46"/>
      <c r="K122" s="46"/>
    </row>
    <row r="123" spans="1:11" s="109" customFormat="1">
      <c r="A123" s="46"/>
      <c r="B123" s="46"/>
      <c r="C123" s="46"/>
      <c r="D123" s="46"/>
      <c r="E123" s="46"/>
      <c r="F123" s="46"/>
      <c r="G123" s="46"/>
      <c r="H123" s="46"/>
      <c r="K123" s="46"/>
    </row>
    <row r="124" spans="1:11" s="109" customFormat="1">
      <c r="A124" s="46"/>
      <c r="B124" s="46"/>
      <c r="C124" s="46"/>
      <c r="D124" s="46"/>
      <c r="E124" s="46"/>
      <c r="F124" s="46"/>
      <c r="G124" s="46"/>
      <c r="H124" s="46"/>
      <c r="K124" s="46"/>
    </row>
    <row r="125" spans="1:11" s="109" customFormat="1">
      <c r="A125" s="46"/>
      <c r="B125" s="46"/>
      <c r="C125" s="46"/>
      <c r="D125" s="46"/>
      <c r="E125" s="46"/>
      <c r="F125" s="46"/>
      <c r="G125" s="46"/>
      <c r="H125" s="46"/>
      <c r="K125" s="46"/>
    </row>
    <row r="126" spans="1:11" s="109" customFormat="1">
      <c r="A126" s="46"/>
      <c r="B126" s="46"/>
      <c r="C126" s="46"/>
      <c r="D126" s="46"/>
      <c r="E126" s="46"/>
      <c r="F126" s="46"/>
      <c r="G126" s="46"/>
      <c r="H126" s="46"/>
      <c r="K126" s="46"/>
    </row>
    <row r="127" spans="1:11" s="109" customFormat="1">
      <c r="A127" s="46"/>
      <c r="B127" s="46"/>
      <c r="C127" s="46"/>
      <c r="D127" s="46"/>
      <c r="E127" s="46"/>
      <c r="F127" s="46"/>
      <c r="G127" s="46"/>
      <c r="H127" s="46"/>
      <c r="K127" s="46"/>
    </row>
    <row r="128" spans="1:11" s="109" customFormat="1">
      <c r="A128" s="46"/>
      <c r="B128" s="46"/>
      <c r="C128" s="46"/>
      <c r="D128" s="46"/>
      <c r="E128" s="46"/>
      <c r="F128" s="46"/>
      <c r="G128" s="46"/>
      <c r="H128" s="46"/>
      <c r="K128" s="46"/>
    </row>
    <row r="129" spans="1:11" s="109" customFormat="1">
      <c r="A129" s="46"/>
      <c r="B129" s="46"/>
      <c r="C129" s="46"/>
      <c r="D129" s="46"/>
      <c r="E129" s="46"/>
      <c r="F129" s="46"/>
      <c r="G129" s="46"/>
      <c r="H129" s="46"/>
      <c r="K129" s="46"/>
    </row>
    <row r="130" spans="1:11" s="109" customFormat="1">
      <c r="A130" s="46"/>
      <c r="B130" s="46"/>
      <c r="C130" s="46"/>
      <c r="D130" s="46"/>
      <c r="E130" s="46"/>
      <c r="F130" s="46"/>
      <c r="G130" s="46"/>
      <c r="H130" s="46"/>
      <c r="K130" s="46"/>
    </row>
    <row r="131" spans="1:11" s="109" customFormat="1">
      <c r="A131" s="46"/>
      <c r="B131" s="46"/>
      <c r="C131" s="46"/>
      <c r="D131" s="46"/>
      <c r="E131" s="46"/>
      <c r="F131" s="46"/>
      <c r="G131" s="46"/>
      <c r="H131" s="46"/>
      <c r="K131" s="46"/>
    </row>
    <row r="132" spans="1:11" s="109" customFormat="1">
      <c r="A132" s="46"/>
      <c r="B132" s="46"/>
      <c r="C132" s="46"/>
      <c r="D132" s="46"/>
      <c r="E132" s="46"/>
      <c r="F132" s="46"/>
      <c r="G132" s="46"/>
      <c r="H132" s="46"/>
      <c r="K132" s="46"/>
    </row>
    <row r="133" spans="1:11" s="109" customFormat="1">
      <c r="A133" s="46"/>
      <c r="B133" s="46"/>
      <c r="C133" s="46"/>
      <c r="D133" s="46"/>
      <c r="E133" s="46"/>
      <c r="F133" s="46"/>
      <c r="G133" s="46"/>
      <c r="H133" s="46"/>
      <c r="K133" s="46"/>
    </row>
    <row r="134" spans="1:11" s="109" customFormat="1">
      <c r="A134" s="46"/>
      <c r="B134" s="46"/>
      <c r="C134" s="46"/>
      <c r="D134" s="46"/>
      <c r="E134" s="46"/>
      <c r="F134" s="46"/>
      <c r="G134" s="46"/>
      <c r="H134" s="46"/>
      <c r="K134" s="46"/>
    </row>
    <row r="135" spans="1:11" s="109" customFormat="1">
      <c r="A135" s="46"/>
      <c r="B135" s="46"/>
      <c r="C135" s="46"/>
      <c r="D135" s="46"/>
      <c r="E135" s="46"/>
      <c r="F135" s="46"/>
      <c r="G135" s="46"/>
      <c r="H135" s="46"/>
      <c r="K135" s="46"/>
    </row>
    <row r="136" spans="1:11" s="109" customFormat="1">
      <c r="A136" s="46"/>
      <c r="B136" s="46"/>
      <c r="C136" s="46"/>
      <c r="D136" s="46"/>
      <c r="E136" s="46"/>
      <c r="F136" s="46"/>
      <c r="G136" s="46"/>
      <c r="H136" s="46"/>
      <c r="K136" s="46"/>
    </row>
    <row r="137" spans="1:11" s="109" customFormat="1">
      <c r="A137" s="46"/>
      <c r="B137" s="46"/>
      <c r="C137" s="46"/>
      <c r="D137" s="46"/>
      <c r="E137" s="46"/>
      <c r="F137" s="46"/>
      <c r="G137" s="46"/>
      <c r="H137" s="46"/>
      <c r="K137" s="46"/>
    </row>
    <row r="138" spans="1:11" s="109" customFormat="1">
      <c r="A138" s="46"/>
      <c r="B138" s="46"/>
      <c r="C138" s="46"/>
      <c r="D138" s="46"/>
      <c r="E138" s="46"/>
      <c r="F138" s="46"/>
      <c r="G138" s="46"/>
      <c r="H138" s="46"/>
      <c r="K138" s="46"/>
    </row>
    <row r="139" spans="1:11" s="109" customFormat="1">
      <c r="A139" s="46"/>
      <c r="B139" s="46"/>
      <c r="C139" s="46"/>
      <c r="D139" s="46"/>
      <c r="E139" s="46"/>
      <c r="F139" s="46"/>
      <c r="G139" s="46"/>
      <c r="H139" s="46"/>
      <c r="K139" s="46"/>
    </row>
    <row r="140" spans="1:11" s="109" customFormat="1">
      <c r="A140" s="46"/>
      <c r="B140" s="46"/>
      <c r="C140" s="46"/>
      <c r="D140" s="46"/>
      <c r="E140" s="46"/>
      <c r="F140" s="46"/>
      <c r="G140" s="46"/>
      <c r="H140" s="46"/>
      <c r="K140" s="46"/>
    </row>
    <row r="141" spans="1:11" s="109" customFormat="1">
      <c r="A141" s="46"/>
      <c r="B141" s="46"/>
      <c r="C141" s="46"/>
      <c r="D141" s="46"/>
      <c r="E141" s="46"/>
      <c r="F141" s="46"/>
      <c r="G141" s="46"/>
      <c r="H141" s="46"/>
      <c r="K141" s="46"/>
    </row>
    <row r="142" spans="1:11" s="109" customFormat="1">
      <c r="A142" s="46"/>
      <c r="B142" s="46"/>
      <c r="C142" s="46"/>
      <c r="D142" s="46"/>
      <c r="E142" s="46"/>
      <c r="F142" s="46"/>
      <c r="G142" s="46"/>
      <c r="H142" s="46"/>
      <c r="K142" s="46"/>
    </row>
    <row r="143" spans="1:11" s="109" customFormat="1">
      <c r="A143" s="46"/>
      <c r="B143" s="46"/>
      <c r="C143" s="46"/>
      <c r="D143" s="46"/>
      <c r="E143" s="46"/>
      <c r="F143" s="46"/>
      <c r="G143" s="46"/>
      <c r="H143" s="46"/>
      <c r="K143" s="46"/>
    </row>
    <row r="144" spans="1:11" s="109" customFormat="1">
      <c r="A144" s="46"/>
      <c r="B144" s="46"/>
      <c r="C144" s="46"/>
      <c r="D144" s="46"/>
      <c r="E144" s="46"/>
      <c r="F144" s="46"/>
      <c r="G144" s="46"/>
      <c r="H144" s="46"/>
      <c r="K144" s="46"/>
    </row>
    <row r="145" spans="1:11" s="109" customFormat="1">
      <c r="A145" s="46"/>
      <c r="B145" s="46"/>
      <c r="C145" s="46"/>
      <c r="D145" s="46"/>
      <c r="E145" s="46"/>
      <c r="F145" s="46"/>
      <c r="G145" s="46"/>
      <c r="H145" s="46"/>
      <c r="K145" s="46"/>
    </row>
    <row r="146" spans="1:11" s="109" customFormat="1">
      <c r="A146" s="46"/>
      <c r="B146" s="46"/>
      <c r="C146" s="46"/>
      <c r="D146" s="46"/>
      <c r="E146" s="46"/>
      <c r="F146" s="46"/>
      <c r="G146" s="46"/>
      <c r="H146" s="46"/>
      <c r="K146" s="46"/>
    </row>
    <row r="147" spans="1:11" s="109" customFormat="1">
      <c r="A147" s="46"/>
      <c r="B147" s="46"/>
      <c r="C147" s="46"/>
      <c r="D147" s="46"/>
      <c r="E147" s="46"/>
      <c r="F147" s="46"/>
      <c r="G147" s="46"/>
      <c r="H147" s="46"/>
      <c r="K147" s="46"/>
    </row>
    <row r="148" spans="1:11" s="109" customFormat="1">
      <c r="A148" s="46"/>
      <c r="B148" s="46"/>
      <c r="C148" s="46"/>
      <c r="D148" s="46"/>
      <c r="E148" s="46"/>
      <c r="F148" s="46"/>
      <c r="G148" s="46"/>
      <c r="H148" s="46"/>
      <c r="K148" s="46"/>
    </row>
    <row r="149" spans="1:11" s="109" customFormat="1">
      <c r="A149" s="46"/>
      <c r="B149" s="46"/>
      <c r="C149" s="46"/>
      <c r="D149" s="46"/>
      <c r="E149" s="46"/>
      <c r="F149" s="46"/>
      <c r="G149" s="46"/>
      <c r="H149" s="46"/>
      <c r="K149" s="46"/>
    </row>
    <row r="150" spans="1:11" s="109" customFormat="1">
      <c r="A150" s="46"/>
      <c r="B150" s="46"/>
      <c r="C150" s="46"/>
      <c r="D150" s="46"/>
      <c r="E150" s="46"/>
      <c r="F150" s="46"/>
      <c r="G150" s="46"/>
      <c r="H150" s="46"/>
      <c r="K150" s="46"/>
    </row>
    <row r="151" spans="1:11" s="109" customFormat="1">
      <c r="A151" s="46"/>
      <c r="B151" s="46"/>
      <c r="C151" s="46"/>
      <c r="D151" s="46"/>
      <c r="E151" s="46"/>
      <c r="F151" s="46"/>
      <c r="G151" s="46"/>
      <c r="H151" s="46"/>
      <c r="K151" s="46"/>
    </row>
    <row r="152" spans="1:11" s="109" customFormat="1">
      <c r="A152" s="46"/>
      <c r="B152" s="46"/>
      <c r="C152" s="46"/>
      <c r="D152" s="46"/>
      <c r="E152" s="46"/>
      <c r="F152" s="46"/>
      <c r="G152" s="46"/>
      <c r="H152" s="46"/>
      <c r="K152" s="46"/>
    </row>
    <row r="153" spans="1:11" s="109" customFormat="1">
      <c r="A153" s="46"/>
      <c r="B153" s="46"/>
      <c r="C153" s="46"/>
      <c r="D153" s="46"/>
      <c r="E153" s="46"/>
      <c r="F153" s="46"/>
      <c r="G153" s="46"/>
      <c r="H153" s="46"/>
      <c r="K153" s="46"/>
    </row>
    <row r="154" spans="1:11" s="109" customFormat="1">
      <c r="A154" s="46"/>
      <c r="B154" s="46"/>
      <c r="C154" s="46"/>
      <c r="D154" s="46"/>
      <c r="E154" s="46"/>
      <c r="F154" s="46"/>
      <c r="G154" s="46"/>
      <c r="H154" s="46"/>
      <c r="K154" s="46"/>
    </row>
    <row r="155" spans="1:11" s="109" customFormat="1">
      <c r="A155" s="46"/>
      <c r="B155" s="46"/>
      <c r="C155" s="46"/>
      <c r="D155" s="46"/>
      <c r="E155" s="46"/>
      <c r="F155" s="46"/>
      <c r="G155" s="46"/>
      <c r="H155" s="46"/>
      <c r="K155" s="46"/>
    </row>
    <row r="156" spans="1:11" s="109" customFormat="1">
      <c r="A156" s="46"/>
      <c r="B156" s="46"/>
      <c r="C156" s="46"/>
      <c r="D156" s="46"/>
      <c r="E156" s="46"/>
      <c r="F156" s="46"/>
      <c r="G156" s="46"/>
      <c r="H156" s="46"/>
      <c r="K156" s="46"/>
    </row>
    <row r="157" spans="1:11" s="109" customFormat="1">
      <c r="A157" s="46"/>
      <c r="B157" s="46"/>
      <c r="C157" s="46"/>
      <c r="D157" s="46"/>
      <c r="E157" s="46"/>
      <c r="F157" s="46"/>
      <c r="G157" s="46"/>
      <c r="H157" s="46"/>
      <c r="K157" s="46"/>
    </row>
    <row r="158" spans="1:11" s="109" customFormat="1">
      <c r="A158" s="46"/>
      <c r="B158" s="46"/>
      <c r="C158" s="46"/>
      <c r="D158" s="46"/>
      <c r="E158" s="46"/>
      <c r="F158" s="46"/>
      <c r="G158" s="46"/>
      <c r="H158" s="46"/>
      <c r="K158" s="46"/>
    </row>
    <row r="159" spans="1:11" s="109" customFormat="1">
      <c r="A159" s="46"/>
      <c r="B159" s="46"/>
      <c r="C159" s="46"/>
      <c r="D159" s="46"/>
      <c r="E159" s="46"/>
      <c r="F159" s="46"/>
      <c r="G159" s="46"/>
      <c r="H159" s="46"/>
      <c r="K159" s="46"/>
    </row>
    <row r="160" spans="1:11" s="109" customFormat="1">
      <c r="A160" s="46"/>
      <c r="B160" s="46"/>
      <c r="C160" s="46"/>
      <c r="D160" s="46"/>
      <c r="E160" s="46"/>
      <c r="F160" s="46"/>
      <c r="G160" s="46"/>
      <c r="H160" s="46"/>
      <c r="K160" s="46"/>
    </row>
    <row r="161" spans="1:11" s="109" customFormat="1">
      <c r="A161" s="46"/>
      <c r="B161" s="46"/>
      <c r="C161" s="46"/>
      <c r="D161" s="46"/>
      <c r="E161" s="46"/>
      <c r="F161" s="46"/>
      <c r="G161" s="46"/>
      <c r="H161" s="46"/>
      <c r="K161" s="46"/>
    </row>
    <row r="162" spans="1:11" s="109" customFormat="1">
      <c r="A162" s="46"/>
      <c r="B162" s="46"/>
      <c r="C162" s="46"/>
      <c r="D162" s="46"/>
      <c r="E162" s="46"/>
      <c r="F162" s="46"/>
      <c r="G162" s="46"/>
      <c r="H162" s="46"/>
      <c r="K162" s="46"/>
    </row>
    <row r="163" spans="1:11" s="109" customFormat="1">
      <c r="A163" s="46"/>
      <c r="B163" s="46"/>
      <c r="C163" s="46"/>
      <c r="D163" s="46"/>
      <c r="E163" s="46"/>
      <c r="F163" s="46"/>
      <c r="G163" s="46"/>
      <c r="H163" s="46"/>
      <c r="K163" s="46"/>
    </row>
    <row r="164" spans="1:11" s="109" customFormat="1">
      <c r="A164" s="46"/>
      <c r="B164" s="46"/>
      <c r="C164" s="46"/>
      <c r="D164" s="46"/>
      <c r="E164" s="46"/>
      <c r="F164" s="46"/>
      <c r="G164" s="46"/>
      <c r="H164" s="46"/>
      <c r="K164" s="46"/>
    </row>
    <row r="165" spans="1:11" s="109" customFormat="1">
      <c r="A165" s="46"/>
      <c r="B165" s="46"/>
      <c r="C165" s="46"/>
      <c r="D165" s="46"/>
      <c r="E165" s="46"/>
      <c r="F165" s="46"/>
      <c r="G165" s="46"/>
      <c r="H165" s="46"/>
      <c r="K165" s="46"/>
    </row>
    <row r="166" spans="1:11" s="109" customFormat="1">
      <c r="A166" s="46"/>
      <c r="B166" s="46"/>
      <c r="C166" s="46"/>
      <c r="D166" s="46"/>
      <c r="E166" s="46"/>
      <c r="F166" s="46"/>
      <c r="G166" s="46"/>
      <c r="H166" s="46"/>
      <c r="K166" s="46"/>
    </row>
    <row r="167" spans="1:11" s="109" customFormat="1">
      <c r="A167" s="46"/>
      <c r="B167" s="46"/>
      <c r="C167" s="46"/>
      <c r="D167" s="46"/>
      <c r="E167" s="46"/>
      <c r="F167" s="46"/>
      <c r="G167" s="46"/>
      <c r="H167" s="46"/>
      <c r="K167" s="46"/>
    </row>
    <row r="168" spans="1:11" s="109" customFormat="1">
      <c r="A168" s="46"/>
      <c r="B168" s="46"/>
      <c r="C168" s="46"/>
      <c r="D168" s="46"/>
      <c r="E168" s="46"/>
      <c r="F168" s="46"/>
      <c r="G168" s="46"/>
      <c r="H168" s="46"/>
      <c r="K168" s="46"/>
    </row>
    <row r="169" spans="1:11" s="109" customFormat="1">
      <c r="A169" s="46"/>
      <c r="B169" s="46"/>
      <c r="C169" s="46"/>
      <c r="D169" s="46"/>
      <c r="E169" s="46"/>
      <c r="F169" s="46"/>
      <c r="G169" s="46"/>
      <c r="H169" s="46"/>
      <c r="K169" s="46"/>
    </row>
    <row r="170" spans="1:11" s="109" customFormat="1">
      <c r="A170" s="46"/>
      <c r="B170" s="46"/>
      <c r="C170" s="46"/>
      <c r="D170" s="46"/>
      <c r="E170" s="46"/>
      <c r="F170" s="46"/>
      <c r="G170" s="46"/>
      <c r="H170" s="46"/>
      <c r="K170" s="46"/>
    </row>
    <row r="171" spans="1:11" s="109" customFormat="1">
      <c r="A171" s="46"/>
      <c r="B171" s="46"/>
      <c r="C171" s="46"/>
      <c r="D171" s="46"/>
      <c r="E171" s="46"/>
      <c r="F171" s="46"/>
      <c r="G171" s="46"/>
      <c r="H171" s="46"/>
      <c r="K171" s="46"/>
    </row>
    <row r="172" spans="1:11" s="109" customFormat="1">
      <c r="A172" s="46"/>
      <c r="B172" s="46"/>
      <c r="C172" s="46"/>
      <c r="D172" s="46"/>
      <c r="E172" s="46"/>
      <c r="F172" s="46"/>
      <c r="G172" s="46"/>
      <c r="H172" s="46"/>
      <c r="K172" s="46"/>
    </row>
    <row r="173" spans="1:11" s="109" customFormat="1">
      <c r="A173" s="46"/>
      <c r="B173" s="46"/>
      <c r="C173" s="46"/>
      <c r="D173" s="46"/>
      <c r="E173" s="46"/>
      <c r="F173" s="46"/>
      <c r="G173" s="46"/>
      <c r="H173" s="46"/>
      <c r="K173" s="46"/>
    </row>
    <row r="174" spans="1:11" s="109" customFormat="1">
      <c r="A174" s="46"/>
      <c r="B174" s="46"/>
      <c r="C174" s="46"/>
      <c r="D174" s="46"/>
      <c r="E174" s="46"/>
      <c r="F174" s="46"/>
      <c r="G174" s="46"/>
      <c r="H174" s="46"/>
      <c r="K174" s="46"/>
    </row>
    <row r="175" spans="1:11" s="109" customFormat="1">
      <c r="A175" s="46"/>
      <c r="B175" s="46"/>
      <c r="C175" s="46"/>
      <c r="D175" s="46"/>
      <c r="E175" s="46"/>
      <c r="F175" s="46"/>
      <c r="G175" s="46"/>
      <c r="H175" s="46"/>
      <c r="K175" s="46"/>
    </row>
    <row r="176" spans="1:11" s="109" customFormat="1">
      <c r="A176" s="46"/>
      <c r="B176" s="46"/>
      <c r="C176" s="46"/>
      <c r="D176" s="46"/>
      <c r="E176" s="46"/>
      <c r="F176" s="46"/>
      <c r="G176" s="46"/>
      <c r="H176" s="46"/>
      <c r="K176" s="46"/>
    </row>
    <row r="177" spans="1:11" s="109" customFormat="1">
      <c r="A177" s="46"/>
      <c r="B177" s="46"/>
      <c r="C177" s="46"/>
      <c r="D177" s="46"/>
      <c r="E177" s="46"/>
      <c r="F177" s="46"/>
      <c r="G177" s="46"/>
      <c r="H177" s="46"/>
      <c r="K177" s="46"/>
    </row>
    <row r="178" spans="1:11" s="109" customFormat="1">
      <c r="A178" s="46"/>
      <c r="B178" s="46"/>
      <c r="C178" s="46"/>
      <c r="D178" s="46"/>
      <c r="E178" s="46"/>
      <c r="F178" s="46"/>
      <c r="G178" s="46"/>
      <c r="H178" s="46"/>
      <c r="K178" s="46"/>
    </row>
    <row r="179" spans="1:11" s="109" customFormat="1">
      <c r="A179" s="46"/>
      <c r="B179" s="46"/>
      <c r="C179" s="46"/>
      <c r="D179" s="46"/>
      <c r="E179" s="46"/>
      <c r="F179" s="46"/>
      <c r="G179" s="46"/>
      <c r="H179" s="46"/>
      <c r="K179" s="46"/>
    </row>
    <row r="180" spans="1:11" s="109" customFormat="1">
      <c r="A180" s="46"/>
      <c r="B180" s="46"/>
      <c r="C180" s="46"/>
      <c r="D180" s="46"/>
      <c r="E180" s="46"/>
      <c r="F180" s="46"/>
      <c r="G180" s="46"/>
      <c r="H180" s="46"/>
      <c r="K180" s="46"/>
    </row>
    <row r="181" spans="1:11" s="109" customFormat="1">
      <c r="A181" s="46"/>
      <c r="B181" s="46"/>
      <c r="C181" s="46"/>
      <c r="D181" s="46"/>
      <c r="E181" s="46"/>
      <c r="F181" s="46"/>
      <c r="G181" s="46"/>
      <c r="H181" s="46"/>
      <c r="K181" s="46"/>
    </row>
    <row r="182" spans="1:11" s="109" customFormat="1">
      <c r="A182" s="46"/>
      <c r="B182" s="46"/>
      <c r="C182" s="46"/>
      <c r="D182" s="46"/>
      <c r="E182" s="46"/>
      <c r="F182" s="46"/>
      <c r="G182" s="46"/>
      <c r="H182" s="46"/>
      <c r="K182" s="46"/>
    </row>
    <row r="183" spans="1:11" s="109" customFormat="1">
      <c r="A183" s="46"/>
      <c r="B183" s="46"/>
      <c r="C183" s="46"/>
      <c r="D183" s="46"/>
      <c r="E183" s="46"/>
      <c r="F183" s="46"/>
      <c r="G183" s="46"/>
      <c r="H183" s="46"/>
      <c r="K183" s="46"/>
    </row>
    <row r="184" spans="1:11" s="109" customFormat="1">
      <c r="A184" s="46"/>
      <c r="B184" s="46"/>
      <c r="C184" s="46"/>
      <c r="D184" s="46"/>
      <c r="E184" s="46"/>
      <c r="F184" s="46"/>
      <c r="G184" s="46"/>
      <c r="H184" s="46"/>
      <c r="K184" s="46"/>
    </row>
    <row r="185" spans="1:11" s="109" customFormat="1">
      <c r="A185" s="46"/>
      <c r="B185" s="46"/>
      <c r="C185" s="46"/>
      <c r="D185" s="46"/>
      <c r="E185" s="46"/>
      <c r="F185" s="46"/>
      <c r="G185" s="46"/>
      <c r="H185" s="46"/>
      <c r="K185" s="46"/>
    </row>
    <row r="186" spans="1:11" s="109" customFormat="1">
      <c r="A186" s="46"/>
      <c r="B186" s="46"/>
      <c r="C186" s="46"/>
      <c r="D186" s="46"/>
      <c r="E186" s="46"/>
      <c r="F186" s="46"/>
      <c r="G186" s="46"/>
      <c r="H186" s="46"/>
      <c r="K186" s="46"/>
    </row>
    <row r="187" spans="1:11" s="109" customFormat="1">
      <c r="A187" s="46"/>
      <c r="B187" s="46"/>
      <c r="C187" s="46"/>
      <c r="D187" s="46"/>
      <c r="E187" s="46"/>
      <c r="F187" s="46"/>
      <c r="G187" s="46"/>
      <c r="H187" s="46"/>
      <c r="K187" s="46"/>
    </row>
    <row r="188" spans="1:11" s="109" customFormat="1">
      <c r="A188" s="46"/>
      <c r="B188" s="46"/>
      <c r="C188" s="46"/>
      <c r="D188" s="46"/>
      <c r="E188" s="46"/>
      <c r="F188" s="46"/>
      <c r="G188" s="46"/>
      <c r="H188" s="46"/>
      <c r="K188" s="46"/>
    </row>
    <row r="189" spans="1:11" s="109" customFormat="1">
      <c r="A189" s="46"/>
      <c r="B189" s="46"/>
      <c r="C189" s="46"/>
      <c r="D189" s="46"/>
      <c r="E189" s="46"/>
      <c r="F189" s="46"/>
      <c r="G189" s="46"/>
      <c r="H189" s="46"/>
      <c r="K189" s="46"/>
    </row>
    <row r="190" spans="1:11" s="109" customFormat="1">
      <c r="A190" s="46"/>
      <c r="B190" s="46"/>
      <c r="C190" s="46"/>
      <c r="D190" s="46"/>
      <c r="E190" s="46"/>
      <c r="F190" s="46"/>
      <c r="G190" s="46"/>
      <c r="H190" s="46"/>
      <c r="K190" s="46"/>
    </row>
    <row r="191" spans="1:11" s="109" customFormat="1">
      <c r="A191" s="46"/>
      <c r="B191" s="46"/>
      <c r="C191" s="46"/>
      <c r="D191" s="46"/>
      <c r="E191" s="46"/>
      <c r="F191" s="46"/>
      <c r="G191" s="46"/>
      <c r="H191" s="46"/>
      <c r="K191" s="46"/>
    </row>
    <row r="192" spans="1:11" s="109" customFormat="1">
      <c r="A192" s="46"/>
      <c r="B192" s="46"/>
      <c r="C192" s="46"/>
      <c r="D192" s="46"/>
      <c r="E192" s="46"/>
      <c r="F192" s="46"/>
      <c r="G192" s="46"/>
      <c r="H192" s="46"/>
      <c r="K192" s="46"/>
    </row>
    <row r="193" spans="1:11" s="109" customFormat="1">
      <c r="A193" s="46"/>
      <c r="B193" s="46"/>
      <c r="C193" s="46"/>
      <c r="D193" s="46"/>
      <c r="E193" s="46"/>
      <c r="F193" s="46"/>
      <c r="G193" s="46"/>
      <c r="H193" s="46"/>
      <c r="K193" s="46"/>
    </row>
    <row r="194" spans="1:11" s="109" customFormat="1">
      <c r="A194" s="46"/>
      <c r="B194" s="46"/>
      <c r="C194" s="46"/>
      <c r="D194" s="46"/>
      <c r="E194" s="46"/>
      <c r="F194" s="46"/>
      <c r="G194" s="46"/>
      <c r="H194" s="46"/>
      <c r="K194" s="46"/>
    </row>
    <row r="195" spans="1:11" s="109" customFormat="1">
      <c r="A195" s="46"/>
      <c r="B195" s="46"/>
      <c r="C195" s="46"/>
      <c r="D195" s="46"/>
      <c r="E195" s="46"/>
      <c r="F195" s="46"/>
      <c r="G195" s="46"/>
      <c r="H195" s="46"/>
      <c r="K195" s="46"/>
    </row>
    <row r="196" spans="1:11" s="109" customFormat="1">
      <c r="A196" s="46"/>
      <c r="B196" s="46"/>
      <c r="C196" s="46"/>
      <c r="D196" s="46"/>
      <c r="E196" s="46"/>
      <c r="F196" s="46"/>
      <c r="G196" s="46"/>
      <c r="H196" s="46"/>
      <c r="K196" s="46"/>
    </row>
    <row r="197" spans="1:11" s="109" customFormat="1">
      <c r="A197" s="46"/>
      <c r="B197" s="46"/>
      <c r="C197" s="46"/>
      <c r="D197" s="46"/>
      <c r="E197" s="46"/>
      <c r="F197" s="46"/>
      <c r="G197" s="46"/>
      <c r="H197" s="46"/>
      <c r="K197" s="46"/>
    </row>
    <row r="198" spans="1:11" s="109" customFormat="1">
      <c r="A198" s="46"/>
      <c r="B198" s="46"/>
      <c r="C198" s="46"/>
      <c r="D198" s="46"/>
      <c r="E198" s="46"/>
      <c r="F198" s="46"/>
      <c r="G198" s="46"/>
      <c r="H198" s="46"/>
      <c r="K198" s="46"/>
    </row>
    <row r="199" spans="1:11" s="109" customFormat="1">
      <c r="A199" s="46"/>
      <c r="B199" s="46"/>
      <c r="C199" s="46"/>
      <c r="D199" s="46"/>
      <c r="E199" s="46"/>
      <c r="F199" s="46"/>
      <c r="G199" s="46"/>
      <c r="H199" s="46"/>
      <c r="K199" s="46"/>
    </row>
    <row r="200" spans="1:11" s="109" customFormat="1">
      <c r="A200" s="46"/>
      <c r="B200" s="46"/>
      <c r="C200" s="46"/>
      <c r="D200" s="46"/>
      <c r="E200" s="46"/>
      <c r="F200" s="46"/>
      <c r="G200" s="46"/>
      <c r="H200" s="46"/>
      <c r="K200" s="46"/>
    </row>
    <row r="201" spans="1:11" s="109" customFormat="1">
      <c r="A201" s="46"/>
      <c r="B201" s="46"/>
      <c r="C201" s="46"/>
      <c r="D201" s="46"/>
      <c r="E201" s="46"/>
      <c r="F201" s="46"/>
      <c r="G201" s="46"/>
      <c r="H201" s="46"/>
      <c r="K201" s="46"/>
    </row>
    <row r="202" spans="1:11" s="109" customFormat="1">
      <c r="A202" s="46"/>
      <c r="B202" s="46"/>
      <c r="C202" s="46"/>
      <c r="D202" s="46"/>
      <c r="E202" s="46"/>
      <c r="F202" s="46"/>
      <c r="G202" s="46"/>
      <c r="H202" s="46"/>
      <c r="K202" s="46"/>
    </row>
    <row r="203" spans="1:11" s="109" customFormat="1">
      <c r="A203" s="46"/>
      <c r="B203" s="46"/>
      <c r="C203" s="46"/>
      <c r="D203" s="46"/>
      <c r="E203" s="46"/>
      <c r="F203" s="46"/>
      <c r="G203" s="46"/>
      <c r="H203" s="46"/>
      <c r="K203" s="46"/>
    </row>
    <row r="204" spans="1:11" s="109" customFormat="1">
      <c r="A204" s="46"/>
      <c r="B204" s="46"/>
      <c r="C204" s="46"/>
      <c r="D204" s="46"/>
      <c r="E204" s="46"/>
      <c r="F204" s="46"/>
      <c r="G204" s="46"/>
      <c r="H204" s="46"/>
      <c r="K204" s="46"/>
    </row>
    <row r="205" spans="1:11" s="109" customFormat="1">
      <c r="A205" s="46"/>
      <c r="B205" s="46"/>
      <c r="C205" s="46"/>
      <c r="D205" s="46"/>
      <c r="E205" s="46"/>
      <c r="F205" s="46"/>
      <c r="G205" s="46"/>
      <c r="H205" s="46"/>
      <c r="K205" s="46"/>
    </row>
    <row r="206" spans="1:11" s="109" customFormat="1">
      <c r="A206" s="46"/>
      <c r="B206" s="46"/>
      <c r="C206" s="46"/>
      <c r="D206" s="46"/>
      <c r="E206" s="46"/>
      <c r="F206" s="46"/>
      <c r="G206" s="46"/>
      <c r="H206" s="46"/>
      <c r="K206" s="46"/>
    </row>
    <row r="207" spans="1:11" s="109" customFormat="1">
      <c r="A207" s="46"/>
      <c r="B207" s="46"/>
      <c r="C207" s="46"/>
      <c r="D207" s="46"/>
      <c r="E207" s="46"/>
      <c r="F207" s="46"/>
      <c r="G207" s="46"/>
      <c r="H207" s="46"/>
      <c r="K207" s="46"/>
    </row>
    <row r="208" spans="1:11" s="109" customFormat="1">
      <c r="A208" s="46"/>
      <c r="B208" s="46"/>
      <c r="C208" s="46"/>
      <c r="D208" s="46"/>
      <c r="E208" s="46"/>
      <c r="F208" s="46"/>
      <c r="G208" s="46"/>
      <c r="H208" s="46"/>
      <c r="K208" s="46"/>
    </row>
    <row r="209" spans="1:11" s="109" customFormat="1">
      <c r="A209" s="46"/>
      <c r="B209" s="46"/>
      <c r="C209" s="46"/>
      <c r="D209" s="46"/>
      <c r="E209" s="46"/>
      <c r="F209" s="46"/>
      <c r="G209" s="46"/>
      <c r="H209" s="46"/>
      <c r="K209" s="46"/>
    </row>
    <row r="210" spans="1:11" s="109" customFormat="1">
      <c r="A210" s="46"/>
      <c r="B210" s="46"/>
      <c r="C210" s="46"/>
      <c r="D210" s="46"/>
      <c r="E210" s="46"/>
      <c r="F210" s="46"/>
      <c r="G210" s="46"/>
      <c r="H210" s="46"/>
      <c r="K210" s="46"/>
    </row>
    <row r="211" spans="1:11" s="109" customFormat="1">
      <c r="A211" s="46"/>
      <c r="B211" s="46"/>
      <c r="C211" s="46"/>
      <c r="D211" s="46"/>
      <c r="E211" s="46"/>
      <c r="F211" s="46"/>
      <c r="G211" s="46"/>
      <c r="H211" s="46"/>
      <c r="K211" s="46"/>
    </row>
    <row r="212" spans="1:11" s="109" customFormat="1">
      <c r="A212" s="46"/>
      <c r="B212" s="46"/>
      <c r="C212" s="46"/>
      <c r="D212" s="46"/>
      <c r="E212" s="46"/>
      <c r="F212" s="46"/>
      <c r="G212" s="46"/>
      <c r="H212" s="46"/>
      <c r="K212" s="46"/>
    </row>
    <row r="213" spans="1:11" s="109" customFormat="1">
      <c r="A213" s="46"/>
      <c r="B213" s="46"/>
      <c r="C213" s="46"/>
      <c r="D213" s="46"/>
      <c r="E213" s="46"/>
      <c r="F213" s="46"/>
      <c r="G213" s="46"/>
      <c r="H213" s="46"/>
      <c r="K213" s="46"/>
    </row>
    <row r="214" spans="1:11" s="109" customFormat="1">
      <c r="A214" s="46"/>
      <c r="B214" s="46"/>
      <c r="C214" s="46"/>
      <c r="D214" s="46"/>
      <c r="E214" s="46"/>
      <c r="F214" s="46"/>
      <c r="G214" s="46"/>
      <c r="H214" s="46"/>
      <c r="K214" s="46"/>
    </row>
    <row r="215" spans="1:11" s="109" customFormat="1">
      <c r="A215" s="46"/>
      <c r="B215" s="46"/>
      <c r="C215" s="46"/>
      <c r="D215" s="46"/>
      <c r="E215" s="46"/>
      <c r="F215" s="46"/>
      <c r="G215" s="46"/>
      <c r="H215" s="46"/>
      <c r="K215" s="46"/>
    </row>
    <row r="216" spans="1:11" s="109" customFormat="1">
      <c r="A216" s="46"/>
      <c r="B216" s="46"/>
      <c r="C216" s="46"/>
      <c r="D216" s="46"/>
      <c r="E216" s="46"/>
      <c r="F216" s="46"/>
      <c r="G216" s="46"/>
      <c r="H216" s="46"/>
      <c r="K216" s="46"/>
    </row>
    <row r="217" spans="1:11" s="109" customFormat="1">
      <c r="A217" s="46"/>
      <c r="B217" s="46"/>
      <c r="C217" s="46"/>
      <c r="D217" s="46"/>
      <c r="E217" s="46"/>
      <c r="F217" s="46"/>
      <c r="G217" s="46"/>
      <c r="H217" s="46"/>
      <c r="K217" s="46"/>
    </row>
    <row r="218" spans="1:11" s="109" customFormat="1">
      <c r="A218" s="46"/>
      <c r="B218" s="46"/>
      <c r="C218" s="46"/>
      <c r="D218" s="46"/>
      <c r="E218" s="46"/>
      <c r="F218" s="46"/>
      <c r="G218" s="46"/>
      <c r="H218" s="46"/>
      <c r="K218" s="46"/>
    </row>
    <row r="219" spans="1:11" s="109" customFormat="1">
      <c r="A219" s="46"/>
      <c r="B219" s="46"/>
      <c r="C219" s="46"/>
      <c r="D219" s="46"/>
      <c r="E219" s="46"/>
      <c r="F219" s="46"/>
      <c r="G219" s="46"/>
      <c r="H219" s="46"/>
      <c r="K219" s="46"/>
    </row>
    <row r="220" spans="1:11" s="109" customFormat="1">
      <c r="A220" s="46"/>
      <c r="B220" s="46"/>
      <c r="C220" s="46"/>
      <c r="D220" s="46"/>
      <c r="E220" s="46"/>
      <c r="F220" s="46"/>
      <c r="G220" s="46"/>
      <c r="H220" s="46"/>
      <c r="K220" s="46"/>
    </row>
    <row r="221" spans="1:11" s="109" customFormat="1">
      <c r="A221" s="46"/>
      <c r="B221" s="46"/>
      <c r="C221" s="46"/>
      <c r="D221" s="46"/>
      <c r="E221" s="46"/>
      <c r="F221" s="46"/>
      <c r="G221" s="46"/>
      <c r="H221" s="46"/>
      <c r="K221" s="46"/>
    </row>
    <row r="222" spans="1:11" s="109" customFormat="1">
      <c r="A222" s="46"/>
      <c r="B222" s="46"/>
      <c r="C222" s="46"/>
      <c r="D222" s="46"/>
      <c r="E222" s="46"/>
      <c r="F222" s="46"/>
      <c r="G222" s="46"/>
      <c r="H222" s="46"/>
      <c r="K222" s="46"/>
    </row>
    <row r="223" spans="1:11" s="109" customFormat="1">
      <c r="A223" s="46"/>
      <c r="B223" s="46"/>
      <c r="C223" s="46"/>
      <c r="D223" s="46"/>
      <c r="E223" s="46"/>
      <c r="F223" s="46"/>
      <c r="G223" s="46"/>
      <c r="H223" s="46"/>
      <c r="K223" s="46"/>
    </row>
    <row r="224" spans="1:11" s="109" customFormat="1">
      <c r="A224" s="46"/>
      <c r="B224" s="46"/>
      <c r="C224" s="46"/>
      <c r="D224" s="46"/>
      <c r="E224" s="46"/>
      <c r="F224" s="46"/>
      <c r="G224" s="46"/>
      <c r="H224" s="46"/>
      <c r="K224" s="46"/>
    </row>
    <row r="225" spans="1:11" s="109" customFormat="1">
      <c r="A225" s="46"/>
      <c r="B225" s="46"/>
      <c r="C225" s="46"/>
      <c r="D225" s="46"/>
      <c r="E225" s="46"/>
      <c r="F225" s="46"/>
      <c r="G225" s="46"/>
      <c r="H225" s="46"/>
      <c r="K225" s="46"/>
    </row>
    <row r="226" spans="1:11" s="109" customFormat="1">
      <c r="A226" s="46"/>
      <c r="B226" s="46"/>
      <c r="C226" s="46"/>
      <c r="D226" s="46"/>
      <c r="E226" s="46"/>
      <c r="F226" s="46"/>
      <c r="G226" s="46"/>
      <c r="H226" s="46"/>
      <c r="K226" s="46"/>
    </row>
    <row r="227" spans="1:11" s="109" customFormat="1">
      <c r="A227" s="46"/>
      <c r="B227" s="46"/>
      <c r="C227" s="46"/>
      <c r="D227" s="46"/>
      <c r="E227" s="46"/>
      <c r="F227" s="46"/>
      <c r="G227" s="46"/>
      <c r="H227" s="46"/>
      <c r="K227" s="46"/>
    </row>
    <row r="228" spans="1:11" s="109" customFormat="1">
      <c r="A228" s="46"/>
      <c r="B228" s="46"/>
      <c r="C228" s="46"/>
      <c r="D228" s="46"/>
      <c r="E228" s="46"/>
      <c r="F228" s="46"/>
      <c r="G228" s="46"/>
      <c r="H228" s="46"/>
      <c r="K228" s="46"/>
    </row>
    <row r="229" spans="1:11" s="109" customFormat="1">
      <c r="A229" s="46"/>
      <c r="B229" s="46"/>
      <c r="C229" s="46"/>
      <c r="D229" s="46"/>
      <c r="E229" s="46"/>
      <c r="F229" s="46"/>
      <c r="G229" s="46"/>
      <c r="H229" s="46"/>
      <c r="K229" s="46"/>
    </row>
    <row r="230" spans="1:11" s="109" customFormat="1">
      <c r="A230" s="46"/>
      <c r="B230" s="46"/>
      <c r="C230" s="46"/>
      <c r="D230" s="46"/>
      <c r="E230" s="46"/>
      <c r="F230" s="46"/>
      <c r="G230" s="46"/>
      <c r="H230" s="46"/>
      <c r="K230" s="46"/>
    </row>
    <row r="231" spans="1:11" s="109" customFormat="1">
      <c r="A231" s="46"/>
      <c r="B231" s="46"/>
      <c r="C231" s="46"/>
      <c r="D231" s="46"/>
      <c r="E231" s="46"/>
      <c r="F231" s="46"/>
      <c r="G231" s="46"/>
      <c r="H231" s="46"/>
      <c r="K231" s="46"/>
    </row>
  </sheetData>
  <mergeCells count="3">
    <mergeCell ref="A2:J2"/>
    <mergeCell ref="A3:J3"/>
    <mergeCell ref="A4:J4"/>
  </mergeCells>
  <pageMargins left="0.27" right="0.15" top="0.39" bottom="0.1" header="0.21" footer="0.1"/>
  <pageSetup scale="90" orientation="portrait" horizontalDpi="300" verticalDpi="30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FF00"/>
  </sheetPr>
  <dimension ref="A1:N231"/>
  <sheetViews>
    <sheetView workbookViewId="0">
      <selection activeCell="J13" sqref="J13"/>
    </sheetView>
  </sheetViews>
  <sheetFormatPr defaultRowHeight="12.75"/>
  <cols>
    <col min="1" max="1" width="6" style="46" customWidth="1"/>
    <col min="2" max="3" width="9.140625" style="46"/>
    <col min="4" max="4" width="16.5703125" style="46" customWidth="1"/>
    <col min="5" max="5" width="12.42578125" style="46" customWidth="1"/>
    <col min="6" max="6" width="13.140625" style="46" customWidth="1"/>
    <col min="7" max="7" width="10" style="46" customWidth="1"/>
    <col min="8" max="8" width="11.5703125" style="46" customWidth="1"/>
    <col min="9" max="9" width="11.42578125" style="46" customWidth="1"/>
    <col min="10" max="10" width="13.28515625" style="109" customWidth="1"/>
    <col min="11" max="11" width="15.7109375" style="46" customWidth="1"/>
    <col min="12" max="12" width="16.85546875" style="109" customWidth="1"/>
    <col min="13" max="13" width="17" style="109" customWidth="1"/>
    <col min="14" max="14" width="17" style="46" customWidth="1"/>
    <col min="15" max="16384" width="9.140625" style="46"/>
  </cols>
  <sheetData>
    <row r="1" spans="1:13">
      <c r="A1" s="47"/>
      <c r="B1" s="48"/>
      <c r="C1" s="48"/>
      <c r="D1" s="48"/>
      <c r="E1" s="48"/>
      <c r="F1" s="48"/>
      <c r="G1" s="48"/>
      <c r="H1" s="48"/>
      <c r="I1" s="48"/>
      <c r="J1" s="169" t="s">
        <v>81</v>
      </c>
    </row>
    <row r="2" spans="1:13">
      <c r="A2" s="389" t="s">
        <v>80</v>
      </c>
      <c r="B2" s="390"/>
      <c r="C2" s="390"/>
      <c r="D2" s="390"/>
      <c r="E2" s="390"/>
      <c r="F2" s="390"/>
      <c r="G2" s="390"/>
      <c r="H2" s="390"/>
      <c r="I2" s="390"/>
      <c r="J2" s="391"/>
    </row>
    <row r="3" spans="1:13">
      <c r="A3" s="389" t="s">
        <v>201</v>
      </c>
      <c r="B3" s="390"/>
      <c r="C3" s="390"/>
      <c r="D3" s="390"/>
      <c r="E3" s="390"/>
      <c r="F3" s="390"/>
      <c r="G3" s="390"/>
      <c r="H3" s="390"/>
      <c r="I3" s="390"/>
      <c r="J3" s="391"/>
    </row>
    <row r="4" spans="1:13">
      <c r="A4" s="389"/>
      <c r="B4" s="390"/>
      <c r="C4" s="390"/>
      <c r="D4" s="390"/>
      <c r="E4" s="390"/>
      <c r="F4" s="390"/>
      <c r="G4" s="390"/>
      <c r="H4" s="390"/>
      <c r="I4" s="390"/>
      <c r="J4" s="391"/>
    </row>
    <row r="5" spans="1:13">
      <c r="A5" s="54" t="s">
        <v>77</v>
      </c>
      <c r="B5" s="211"/>
      <c r="C5" s="211"/>
      <c r="D5" s="211"/>
      <c r="E5" s="211"/>
      <c r="F5" s="211"/>
      <c r="G5" s="211"/>
      <c r="H5" s="211"/>
      <c r="I5" s="211"/>
      <c r="J5" s="170"/>
    </row>
    <row r="6" spans="1:13">
      <c r="A6" s="54" t="s">
        <v>76</v>
      </c>
      <c r="B6" s="55"/>
      <c r="C6" s="55"/>
      <c r="D6" s="55"/>
      <c r="E6" s="55"/>
      <c r="F6" s="55"/>
      <c r="G6" s="55"/>
      <c r="H6" s="55"/>
      <c r="I6" s="55"/>
      <c r="J6" s="171"/>
    </row>
    <row r="7" spans="1:13">
      <c r="A7" s="47"/>
      <c r="B7" s="48"/>
      <c r="C7" s="48"/>
      <c r="D7" s="49"/>
      <c r="E7" s="88" t="s">
        <v>8</v>
      </c>
      <c r="F7" s="50"/>
      <c r="G7" s="52"/>
      <c r="H7" s="52"/>
      <c r="I7" s="53"/>
      <c r="J7" s="110"/>
    </row>
    <row r="8" spans="1:13">
      <c r="A8" s="54"/>
      <c r="B8" s="55"/>
      <c r="C8" s="55"/>
      <c r="D8" s="56"/>
      <c r="E8" s="210" t="s">
        <v>9</v>
      </c>
      <c r="F8" s="53"/>
      <c r="G8" s="59"/>
      <c r="H8" s="59"/>
      <c r="I8" s="58"/>
      <c r="J8" s="111"/>
    </row>
    <row r="9" spans="1:13">
      <c r="A9" s="61" t="s">
        <v>68</v>
      </c>
      <c r="B9" s="55"/>
      <c r="C9" s="55"/>
      <c r="D9" s="56"/>
      <c r="E9" s="210" t="s">
        <v>10</v>
      </c>
      <c r="F9" s="60" t="s">
        <v>12</v>
      </c>
      <c r="G9" s="60" t="s">
        <v>14</v>
      </c>
      <c r="H9" s="60" t="s">
        <v>20</v>
      </c>
      <c r="I9" s="60" t="s">
        <v>22</v>
      </c>
      <c r="J9" s="112" t="s">
        <v>24</v>
      </c>
    </row>
    <row r="10" spans="1:13">
      <c r="A10" s="54"/>
      <c r="B10" s="55"/>
      <c r="C10" s="55"/>
      <c r="D10" s="56"/>
      <c r="E10" s="210" t="s">
        <v>11</v>
      </c>
      <c r="F10" s="60" t="s">
        <v>13</v>
      </c>
      <c r="G10" s="59"/>
      <c r="H10" s="60" t="s">
        <v>21</v>
      </c>
      <c r="I10" s="60" t="s">
        <v>23</v>
      </c>
      <c r="J10" s="111"/>
    </row>
    <row r="11" spans="1:13">
      <c r="A11" s="62"/>
      <c r="B11" s="63"/>
      <c r="C11" s="63"/>
      <c r="D11" s="64"/>
      <c r="E11" s="65">
        <v>0.3</v>
      </c>
      <c r="F11" s="66">
        <v>0.7</v>
      </c>
      <c r="G11" s="59"/>
      <c r="H11" s="67"/>
      <c r="I11" s="68"/>
      <c r="J11" s="113"/>
    </row>
    <row r="12" spans="1:13" ht="18" customHeight="1">
      <c r="A12" s="70" t="s">
        <v>0</v>
      </c>
      <c r="B12" s="71"/>
      <c r="C12" s="71"/>
      <c r="D12" s="72"/>
      <c r="E12" s="51"/>
      <c r="F12" s="51"/>
      <c r="G12" s="51"/>
      <c r="H12" s="51"/>
      <c r="I12" s="51"/>
      <c r="J12" s="110"/>
      <c r="L12" s="118" t="s">
        <v>90</v>
      </c>
      <c r="M12" s="118" t="s">
        <v>89</v>
      </c>
    </row>
    <row r="13" spans="1:13" ht="18" customHeight="1">
      <c r="A13" s="73" t="s">
        <v>1</v>
      </c>
      <c r="B13" s="72"/>
      <c r="C13" s="72"/>
      <c r="D13" s="72"/>
      <c r="E13" s="94">
        <f>M19*0.3</f>
        <v>501871.69215000002</v>
      </c>
      <c r="F13" s="94">
        <f>M19*0.7</f>
        <v>1171033.94835</v>
      </c>
      <c r="G13" s="94"/>
      <c r="H13" s="94"/>
      <c r="I13" s="94"/>
      <c r="J13" s="114">
        <f>SUM(E13:I13)</f>
        <v>1672905.6405</v>
      </c>
      <c r="K13" s="175" t="e">
        <f>SUM(J13+#REF!+#REF!+#REF!+#REF!+#REF!+#REF!+#REF!+#REF!+#REF!+#REF!+#REF!)</f>
        <v>#REF!</v>
      </c>
      <c r="L13" s="109">
        <v>21367644.399999999</v>
      </c>
      <c r="M13" s="109">
        <v>4171566.4</v>
      </c>
    </row>
    <row r="14" spans="1:13" ht="18" customHeight="1">
      <c r="A14" s="73" t="s">
        <v>2</v>
      </c>
      <c r="B14" s="72"/>
      <c r="C14" s="72"/>
      <c r="D14" s="72"/>
      <c r="E14" s="102"/>
      <c r="F14" s="102"/>
      <c r="G14" s="102"/>
      <c r="H14" s="102"/>
      <c r="I14" s="102"/>
      <c r="J14" s="110">
        <f>SUM(E14:I14)</f>
        <v>0</v>
      </c>
      <c r="K14" s="117" t="s">
        <v>88</v>
      </c>
      <c r="L14" s="109">
        <v>9400000</v>
      </c>
      <c r="M14" s="109">
        <v>5637398.9699999997</v>
      </c>
    </row>
    <row r="15" spans="1:13" ht="18" customHeight="1">
      <c r="A15" s="75" t="s">
        <v>3</v>
      </c>
      <c r="B15" s="48"/>
      <c r="C15" s="48"/>
      <c r="D15" s="48"/>
      <c r="E15" s="102"/>
      <c r="F15" s="102"/>
      <c r="G15" s="102"/>
      <c r="H15" s="102"/>
      <c r="I15" s="102"/>
      <c r="J15" s="110"/>
      <c r="L15" s="116">
        <f>SUM(L13:L14)</f>
        <v>30767644.399999999</v>
      </c>
      <c r="M15" s="116">
        <f>SUM(M13:M14)</f>
        <v>9808965.3699999992</v>
      </c>
    </row>
    <row r="16" spans="1:13" ht="18" customHeight="1">
      <c r="A16" s="76" t="s">
        <v>78</v>
      </c>
      <c r="B16" s="55"/>
      <c r="C16" s="55"/>
      <c r="D16" s="55"/>
      <c r="E16" s="103"/>
      <c r="F16" s="103"/>
      <c r="G16" s="103"/>
      <c r="H16" s="103"/>
      <c r="I16" s="103"/>
      <c r="J16" s="113">
        <f>SUM(E16:I16)</f>
        <v>0</v>
      </c>
      <c r="K16" s="46">
        <v>11930281.960000001</v>
      </c>
    </row>
    <row r="17" spans="1:13" ht="18" customHeight="1">
      <c r="A17" s="77" t="s">
        <v>79</v>
      </c>
      <c r="B17" s="72"/>
      <c r="C17" s="72"/>
      <c r="D17" s="72"/>
      <c r="E17" s="94"/>
      <c r="F17" s="94"/>
      <c r="G17" s="94"/>
      <c r="H17" s="94"/>
      <c r="I17" s="94"/>
      <c r="J17" s="113">
        <f>SUM(E17:I17)</f>
        <v>0</v>
      </c>
      <c r="K17" s="173">
        <f>K16-J16</f>
        <v>11930281.960000001</v>
      </c>
      <c r="M17" s="109">
        <v>25936573.030000001</v>
      </c>
    </row>
    <row r="18" spans="1:13" ht="18" customHeight="1">
      <c r="A18" s="70" t="s">
        <v>7</v>
      </c>
      <c r="B18" s="72"/>
      <c r="C18" s="72"/>
      <c r="D18" s="72"/>
      <c r="E18" s="119">
        <f>SUM(E13:E17)</f>
        <v>501871.69215000002</v>
      </c>
      <c r="F18" s="119">
        <f t="shared" ref="F18:J18" si="0">SUM(F13:F17)</f>
        <v>1171033.94835</v>
      </c>
      <c r="G18" s="119">
        <f t="shared" si="0"/>
        <v>0</v>
      </c>
      <c r="H18" s="119">
        <f t="shared" si="0"/>
        <v>0</v>
      </c>
      <c r="I18" s="119">
        <f t="shared" si="0"/>
        <v>0</v>
      </c>
      <c r="J18" s="119">
        <f t="shared" si="0"/>
        <v>1672905.6405</v>
      </c>
      <c r="K18" s="166">
        <f t="shared" ref="K18:K40" si="1">SUM(E18:I18)</f>
        <v>1672905.6405</v>
      </c>
      <c r="L18" s="193" t="s">
        <v>171</v>
      </c>
      <c r="M18" s="192">
        <f>397982215.65-364524102.84</f>
        <v>33458112.810000002</v>
      </c>
    </row>
    <row r="19" spans="1:13" s="109" customFormat="1" ht="18" customHeight="1">
      <c r="A19" s="74" t="s">
        <v>99</v>
      </c>
      <c r="B19" s="72" t="s">
        <v>100</v>
      </c>
      <c r="C19" s="72"/>
      <c r="D19" s="72"/>
      <c r="E19" s="94">
        <f>SUM('DRRM Funds July 2014 '!E41)</f>
        <v>13595838.062599998</v>
      </c>
      <c r="F19" s="94">
        <f>SUM('DRRM Funds July 2014 '!F41)</f>
        <v>21220741.139399994</v>
      </c>
      <c r="G19" s="94">
        <f>SUM('DRRM Funds July 2014 '!G41)</f>
        <v>0</v>
      </c>
      <c r="H19" s="94">
        <f>SUM('DRRM Funds July 2014 '!H41)</f>
        <v>10140</v>
      </c>
      <c r="I19" s="94">
        <f>SUM('DRRM Funds July 2014 '!I41)</f>
        <v>0</v>
      </c>
      <c r="J19" s="94">
        <f>SUM('DRRM Funds July 2014 '!J41)</f>
        <v>34826719.202</v>
      </c>
      <c r="K19" s="166">
        <f t="shared" si="1"/>
        <v>34826719.201999992</v>
      </c>
      <c r="L19" s="194">
        <v>0.05</v>
      </c>
      <c r="M19" s="192">
        <f>M18*0.05</f>
        <v>1672905.6405000002</v>
      </c>
    </row>
    <row r="20" spans="1:13" s="109" customFormat="1" ht="18" customHeight="1">
      <c r="A20" s="70" t="s">
        <v>101</v>
      </c>
      <c r="B20" s="122"/>
      <c r="C20" s="72"/>
      <c r="D20" s="72"/>
      <c r="E20" s="119">
        <f>SUM(E18:E19)</f>
        <v>14097709.754749998</v>
      </c>
      <c r="F20" s="119">
        <f t="shared" ref="F20:J20" si="2">SUM(F18:F19)</f>
        <v>22391775.087749995</v>
      </c>
      <c r="G20" s="119">
        <f t="shared" si="2"/>
        <v>0</v>
      </c>
      <c r="H20" s="119">
        <f t="shared" si="2"/>
        <v>10140</v>
      </c>
      <c r="I20" s="119">
        <f t="shared" si="2"/>
        <v>0</v>
      </c>
      <c r="J20" s="119">
        <f t="shared" si="2"/>
        <v>36499624.842500001</v>
      </c>
      <c r="K20" s="166">
        <f t="shared" si="1"/>
        <v>36499624.842499994</v>
      </c>
    </row>
    <row r="21" spans="1:13" ht="18" customHeight="1">
      <c r="A21" s="70" t="s">
        <v>15</v>
      </c>
      <c r="B21" s="72"/>
      <c r="C21" s="72"/>
      <c r="D21" s="72"/>
      <c r="E21" s="94"/>
      <c r="F21" s="94"/>
      <c r="G21" s="94"/>
      <c r="H21" s="94"/>
      <c r="I21" s="94"/>
      <c r="J21" s="111"/>
      <c r="K21" s="166">
        <f t="shared" si="1"/>
        <v>0</v>
      </c>
      <c r="M21" s="109">
        <v>26972032.48</v>
      </c>
    </row>
    <row r="22" spans="1:13" ht="18" customHeight="1">
      <c r="A22" s="78" t="s">
        <v>16</v>
      </c>
      <c r="B22" s="72"/>
      <c r="C22" s="72"/>
      <c r="D22" s="72"/>
      <c r="E22" s="94"/>
      <c r="F22" s="94"/>
      <c r="G22" s="94"/>
      <c r="H22" s="94"/>
      <c r="I22" s="94"/>
      <c r="J22" s="114">
        <f t="shared" ref="J22" si="3">SUM(E22:I22)</f>
        <v>0</v>
      </c>
      <c r="K22" s="166">
        <f t="shared" si="1"/>
        <v>0</v>
      </c>
      <c r="L22" s="176">
        <f>518731460.56*0.05</f>
        <v>25936573.028000001</v>
      </c>
      <c r="M22" s="109">
        <v>10934284.82</v>
      </c>
    </row>
    <row r="23" spans="1:13" ht="18" customHeight="1">
      <c r="A23" s="78" t="s">
        <v>70</v>
      </c>
      <c r="B23" s="72"/>
      <c r="C23" s="72"/>
      <c r="D23" s="72"/>
      <c r="E23" s="94"/>
      <c r="F23" s="94">
        <f>9600+28301+82500+33000+9500+20000+3500+90000+72000+18765+5000+7700+67500+34200+1350+6000+6400+11800+3000+15000+7800</f>
        <v>532916</v>
      </c>
      <c r="G23" s="94"/>
      <c r="H23" s="94"/>
      <c r="I23" s="94"/>
      <c r="J23" s="114">
        <f>SUM(E23:I23)</f>
        <v>532916</v>
      </c>
      <c r="K23" s="166">
        <f t="shared" si="1"/>
        <v>532916</v>
      </c>
      <c r="L23" s="109" t="e">
        <f>L22-K13</f>
        <v>#REF!</v>
      </c>
      <c r="M23" s="109">
        <f>M21-M22</f>
        <v>16037747.66</v>
      </c>
    </row>
    <row r="24" spans="1:13" ht="18" customHeight="1">
      <c r="A24" s="78" t="s">
        <v>71</v>
      </c>
      <c r="B24" s="72"/>
      <c r="C24" s="72"/>
      <c r="D24" s="72"/>
      <c r="E24" s="94"/>
      <c r="F24" s="94">
        <f>225473.91+4485+228866.8+219313.24+106450</f>
        <v>784588.95</v>
      </c>
      <c r="G24" s="94"/>
      <c r="H24" s="94"/>
      <c r="I24" s="94"/>
      <c r="J24" s="114">
        <f t="shared" ref="J24:J37" si="4">SUM(E24:I24)</f>
        <v>784588.95</v>
      </c>
      <c r="K24" s="166">
        <f t="shared" si="1"/>
        <v>784588.95</v>
      </c>
    </row>
    <row r="25" spans="1:13" ht="18" customHeight="1">
      <c r="A25" s="79" t="s">
        <v>91</v>
      </c>
      <c r="B25" s="72"/>
      <c r="C25" s="72"/>
      <c r="D25" s="72"/>
      <c r="E25" s="94"/>
      <c r="F25" s="94">
        <v>2160</v>
      </c>
      <c r="G25" s="94"/>
      <c r="H25" s="94"/>
      <c r="I25" s="94"/>
      <c r="J25" s="114">
        <f t="shared" si="4"/>
        <v>2160</v>
      </c>
      <c r="K25" s="166">
        <f t="shared" si="1"/>
        <v>2160</v>
      </c>
    </row>
    <row r="26" spans="1:13" ht="18" customHeight="1">
      <c r="A26" s="78" t="s">
        <v>17</v>
      </c>
      <c r="B26" s="72"/>
      <c r="C26" s="72"/>
      <c r="D26" s="72"/>
      <c r="E26" s="94"/>
      <c r="F26" s="94"/>
      <c r="G26" s="94"/>
      <c r="H26" s="94"/>
      <c r="I26" s="94"/>
      <c r="J26" s="114">
        <f t="shared" si="4"/>
        <v>0</v>
      </c>
      <c r="K26" s="166">
        <f t="shared" si="1"/>
        <v>0</v>
      </c>
    </row>
    <row r="27" spans="1:13" ht="18" customHeight="1">
      <c r="A27" s="78" t="s">
        <v>18</v>
      </c>
      <c r="B27" s="72"/>
      <c r="C27" s="72"/>
      <c r="D27" s="72"/>
      <c r="E27" s="94"/>
      <c r="F27" s="94">
        <f>3200+1395000</f>
        <v>1398200</v>
      </c>
      <c r="G27" s="94"/>
      <c r="H27" s="94"/>
      <c r="I27" s="94"/>
      <c r="J27" s="114">
        <f t="shared" si="4"/>
        <v>1398200</v>
      </c>
      <c r="K27" s="166">
        <f t="shared" si="1"/>
        <v>1398200</v>
      </c>
      <c r="L27" s="118" t="s">
        <v>162</v>
      </c>
    </row>
    <row r="28" spans="1:13" ht="18" customHeight="1">
      <c r="A28" s="78" t="s">
        <v>102</v>
      </c>
      <c r="B28" s="72"/>
      <c r="C28" s="72"/>
      <c r="D28" s="72"/>
      <c r="E28" s="94"/>
      <c r="F28" s="94"/>
      <c r="G28" s="94"/>
      <c r="H28" s="94"/>
      <c r="I28" s="94"/>
      <c r="J28" s="114">
        <f t="shared" si="4"/>
        <v>0</v>
      </c>
      <c r="K28" s="166">
        <f t="shared" si="1"/>
        <v>0</v>
      </c>
      <c r="L28" s="109">
        <f>SUM(F27:F28)</f>
        <v>1398200</v>
      </c>
    </row>
    <row r="29" spans="1:13" ht="18" customHeight="1">
      <c r="A29" s="78" t="s">
        <v>19</v>
      </c>
      <c r="B29" s="72"/>
      <c r="C29" s="72"/>
      <c r="D29" s="72"/>
      <c r="E29" s="94"/>
      <c r="F29" s="94"/>
      <c r="G29" s="94"/>
      <c r="H29" s="94"/>
      <c r="I29" s="94"/>
      <c r="J29" s="114">
        <f t="shared" si="4"/>
        <v>0</v>
      </c>
      <c r="K29" s="166">
        <f t="shared" si="1"/>
        <v>0</v>
      </c>
      <c r="L29" s="109">
        <v>147060</v>
      </c>
    </row>
    <row r="30" spans="1:13" ht="18" customHeight="1">
      <c r="A30" s="78" t="s">
        <v>168</v>
      </c>
      <c r="B30" s="72"/>
      <c r="C30" s="72"/>
      <c r="D30" s="72"/>
      <c r="E30" s="94"/>
      <c r="F30" s="94"/>
      <c r="G30" s="94"/>
      <c r="H30" s="94"/>
      <c r="I30" s="94"/>
      <c r="J30" s="114">
        <f t="shared" si="4"/>
        <v>0</v>
      </c>
      <c r="K30" s="166">
        <f t="shared" si="1"/>
        <v>0</v>
      </c>
    </row>
    <row r="31" spans="1:13" ht="18" customHeight="1">
      <c r="A31" s="78" t="s">
        <v>98</v>
      </c>
      <c r="B31" s="72"/>
      <c r="C31" s="72"/>
      <c r="D31" s="72"/>
      <c r="E31" s="94"/>
      <c r="F31" s="94"/>
      <c r="G31" s="94"/>
      <c r="H31" s="94"/>
      <c r="I31" s="94"/>
      <c r="J31" s="114"/>
      <c r="K31" s="166">
        <f t="shared" si="1"/>
        <v>0</v>
      </c>
      <c r="L31" s="109">
        <v>1555500</v>
      </c>
    </row>
    <row r="32" spans="1:13" ht="18" customHeight="1">
      <c r="A32" s="78"/>
      <c r="B32" s="72" t="s">
        <v>5</v>
      </c>
      <c r="C32" s="72"/>
      <c r="D32" s="72"/>
      <c r="E32" s="94"/>
      <c r="F32" s="94"/>
      <c r="G32" s="94"/>
      <c r="H32" s="94"/>
      <c r="I32" s="94"/>
      <c r="J32" s="114">
        <f t="shared" si="4"/>
        <v>0</v>
      </c>
      <c r="K32" s="166">
        <f t="shared" si="1"/>
        <v>0</v>
      </c>
      <c r="L32" s="109">
        <v>229640</v>
      </c>
      <c r="M32" s="109">
        <v>2313123</v>
      </c>
    </row>
    <row r="33" spans="1:14" ht="18" customHeight="1">
      <c r="A33" s="78"/>
      <c r="B33" s="72" t="s">
        <v>97</v>
      </c>
      <c r="C33" s="72"/>
      <c r="D33" s="72"/>
      <c r="E33" s="94"/>
      <c r="F33" s="94"/>
      <c r="G33" s="94"/>
      <c r="H33" s="94"/>
      <c r="I33" s="94"/>
      <c r="J33" s="114">
        <f t="shared" si="4"/>
        <v>0</v>
      </c>
      <c r="K33" s="166">
        <f t="shared" si="1"/>
        <v>0</v>
      </c>
      <c r="L33" s="109">
        <v>2209000</v>
      </c>
    </row>
    <row r="34" spans="1:14" ht="18" customHeight="1">
      <c r="A34" s="78" t="s">
        <v>75</v>
      </c>
      <c r="B34" s="72"/>
      <c r="C34" s="72"/>
      <c r="D34" s="72"/>
      <c r="E34" s="94"/>
      <c r="F34" s="94"/>
      <c r="G34" s="94"/>
      <c r="H34" s="94"/>
      <c r="I34" s="94"/>
      <c r="J34" s="114">
        <f t="shared" si="4"/>
        <v>0</v>
      </c>
      <c r="K34" s="166">
        <f t="shared" si="1"/>
        <v>0</v>
      </c>
      <c r="L34" s="109">
        <v>173800</v>
      </c>
    </row>
    <row r="35" spans="1:14" ht="18" customHeight="1">
      <c r="A35" s="79" t="s">
        <v>94</v>
      </c>
      <c r="B35" s="72"/>
      <c r="C35" s="72"/>
      <c r="D35" s="72"/>
      <c r="E35" s="94"/>
      <c r="F35" s="94"/>
      <c r="G35" s="94"/>
      <c r="H35" s="94"/>
      <c r="I35" s="94"/>
      <c r="J35" s="114">
        <f t="shared" si="4"/>
        <v>0</v>
      </c>
      <c r="K35" s="166">
        <f t="shared" si="1"/>
        <v>0</v>
      </c>
      <c r="L35" s="109">
        <v>177000</v>
      </c>
    </row>
    <row r="36" spans="1:14" ht="18" customHeight="1">
      <c r="A36" s="79" t="s">
        <v>95</v>
      </c>
      <c r="B36" s="72"/>
      <c r="C36" s="72"/>
      <c r="D36" s="72"/>
      <c r="E36" s="94"/>
      <c r="F36" s="94"/>
      <c r="G36" s="94"/>
      <c r="H36" s="94"/>
      <c r="I36" s="94"/>
      <c r="J36" s="114">
        <f t="shared" si="4"/>
        <v>0</v>
      </c>
      <c r="K36" s="166">
        <f t="shared" si="1"/>
        <v>0</v>
      </c>
      <c r="L36" s="109">
        <v>204055</v>
      </c>
    </row>
    <row r="37" spans="1:14" ht="18" customHeight="1">
      <c r="A37" s="78" t="s">
        <v>96</v>
      </c>
      <c r="B37" s="72"/>
      <c r="C37" s="72"/>
      <c r="D37" s="72"/>
      <c r="E37" s="94"/>
      <c r="F37" s="94"/>
      <c r="G37" s="94"/>
      <c r="H37" s="94"/>
      <c r="I37" s="94"/>
      <c r="J37" s="114">
        <f t="shared" si="4"/>
        <v>0</v>
      </c>
      <c r="K37" s="166">
        <f t="shared" si="1"/>
        <v>0</v>
      </c>
      <c r="L37" s="109">
        <v>71070</v>
      </c>
    </row>
    <row r="38" spans="1:14" ht="18" customHeight="1">
      <c r="A38" s="84" t="s">
        <v>92</v>
      </c>
      <c r="B38" s="63"/>
      <c r="C38" s="63"/>
      <c r="D38" s="63"/>
      <c r="E38" s="94">
        <f t="shared" ref="E38:J38" si="5">SUM(E22:E37)</f>
        <v>0</v>
      </c>
      <c r="F38" s="94">
        <f t="shared" si="5"/>
        <v>2717864.95</v>
      </c>
      <c r="G38" s="94">
        <f t="shared" si="5"/>
        <v>0</v>
      </c>
      <c r="H38" s="94">
        <f t="shared" si="5"/>
        <v>0</v>
      </c>
      <c r="I38" s="94">
        <f t="shared" si="5"/>
        <v>0</v>
      </c>
      <c r="J38" s="94">
        <f t="shared" si="5"/>
        <v>2717864.95</v>
      </c>
      <c r="K38" s="166">
        <f t="shared" si="1"/>
        <v>2717864.95</v>
      </c>
      <c r="L38" s="109">
        <v>27800</v>
      </c>
      <c r="M38" s="46"/>
    </row>
    <row r="39" spans="1:14" ht="18" customHeight="1">
      <c r="A39" s="84" t="s">
        <v>103</v>
      </c>
      <c r="B39" s="63"/>
      <c r="C39" s="63"/>
      <c r="D39" s="63"/>
      <c r="E39" s="103">
        <f>SUM('DRRM Funds July 2014 '!E40)</f>
        <v>28983</v>
      </c>
      <c r="F39" s="103">
        <f>SUM('DRRM Funds July 2014 '!F40)</f>
        <v>7465209.7400000012</v>
      </c>
      <c r="G39" s="103">
        <f>SUM('DRRM Funds July 2014 '!G40)</f>
        <v>0</v>
      </c>
      <c r="H39" s="103">
        <f>SUM('DRRM Funds July 2014 '!H40)</f>
        <v>0</v>
      </c>
      <c r="I39" s="103">
        <f>SUM('DRRM Funds July 2014 '!I40)</f>
        <v>0</v>
      </c>
      <c r="J39" s="103">
        <f>SUM('DRRM Funds July 2014 '!J40)</f>
        <v>7494192.7400000012</v>
      </c>
      <c r="K39" s="166">
        <f t="shared" si="1"/>
        <v>7494192.7400000012</v>
      </c>
      <c r="L39" s="109">
        <v>126865</v>
      </c>
      <c r="M39" s="109">
        <f>SUM(E39:H39)</f>
        <v>7494192.7400000012</v>
      </c>
    </row>
    <row r="40" spans="1:14" ht="18" customHeight="1">
      <c r="A40" s="84" t="s">
        <v>104</v>
      </c>
      <c r="B40" s="63"/>
      <c r="C40" s="63"/>
      <c r="D40" s="63"/>
      <c r="E40" s="103">
        <f>SUM(E38:E39)</f>
        <v>28983</v>
      </c>
      <c r="F40" s="103">
        <f>SUM(F38:F39)</f>
        <v>10183074.690000001</v>
      </c>
      <c r="G40" s="103">
        <f t="shared" ref="G40:J40" si="6">SUM(G38:G39)</f>
        <v>0</v>
      </c>
      <c r="H40" s="103">
        <f t="shared" si="6"/>
        <v>0</v>
      </c>
      <c r="I40" s="103">
        <f t="shared" si="6"/>
        <v>0</v>
      </c>
      <c r="J40" s="103">
        <f t="shared" si="6"/>
        <v>10212057.690000001</v>
      </c>
      <c r="K40" s="166">
        <f t="shared" si="1"/>
        <v>10212057.690000001</v>
      </c>
      <c r="L40" s="174">
        <f>SUM(L28:L39)</f>
        <v>6319990</v>
      </c>
      <c r="M40" s="109">
        <v>10492358.970000001</v>
      </c>
    </row>
    <row r="41" spans="1:14" ht="18" customHeight="1">
      <c r="A41" s="70" t="s">
        <v>93</v>
      </c>
      <c r="B41" s="72"/>
      <c r="C41" s="72"/>
      <c r="D41" s="80"/>
      <c r="E41" s="120">
        <f>E20-E38</f>
        <v>14097709.754749998</v>
      </c>
      <c r="F41" s="120">
        <f t="shared" ref="F41:J41" si="7">F20-F38</f>
        <v>19673910.137749996</v>
      </c>
      <c r="G41" s="120">
        <f t="shared" si="7"/>
        <v>0</v>
      </c>
      <c r="H41" s="120">
        <f t="shared" si="7"/>
        <v>10140</v>
      </c>
      <c r="I41" s="120">
        <f t="shared" si="7"/>
        <v>0</v>
      </c>
      <c r="J41" s="120">
        <f t="shared" si="7"/>
        <v>33781759.892499998</v>
      </c>
      <c r="K41" s="166">
        <f>SUM(E41:I41)</f>
        <v>33781759.892499998</v>
      </c>
      <c r="L41" s="46"/>
      <c r="M41" s="109">
        <f>M40-L40</f>
        <v>4172368.9700000007</v>
      </c>
    </row>
    <row r="42" spans="1:14" ht="18" customHeight="1">
      <c r="A42" s="55"/>
      <c r="B42" s="55"/>
      <c r="C42" s="55"/>
      <c r="D42" s="55"/>
      <c r="E42" s="55"/>
      <c r="F42" s="55"/>
      <c r="G42" s="55"/>
      <c r="H42" s="55"/>
      <c r="I42" s="55"/>
      <c r="J42" s="115" t="s">
        <v>74</v>
      </c>
      <c r="K42" s="92">
        <f>SUM(E41:F41)</f>
        <v>33771619.892499998</v>
      </c>
      <c r="M42" s="109">
        <v>0</v>
      </c>
    </row>
    <row r="43" spans="1:14" ht="18" customHeight="1">
      <c r="A43" s="55"/>
      <c r="B43" s="55"/>
      <c r="C43" s="55"/>
      <c r="D43" s="55"/>
      <c r="E43" s="55"/>
      <c r="F43" s="55"/>
      <c r="G43" s="55"/>
      <c r="H43" s="92"/>
      <c r="I43" s="55"/>
      <c r="J43" s="115"/>
      <c r="K43" s="55"/>
      <c r="M43" s="109">
        <v>289860</v>
      </c>
    </row>
    <row r="44" spans="1:14" ht="18" customHeight="1">
      <c r="A44" s="55"/>
      <c r="B44" s="55"/>
      <c r="C44" s="55"/>
      <c r="D44" s="55"/>
      <c r="E44" s="55"/>
      <c r="F44" s="55"/>
      <c r="G44" s="55"/>
      <c r="H44" s="55"/>
      <c r="I44" s="55"/>
      <c r="J44" s="115"/>
      <c r="K44" s="92">
        <f>SUM(E40:F40)</f>
        <v>10212057.690000001</v>
      </c>
      <c r="M44" s="109">
        <f>SUM(M41:M43)</f>
        <v>4462228.9700000007</v>
      </c>
      <c r="N44" s="173">
        <f>SUM(L40+M44)</f>
        <v>10782218.970000001</v>
      </c>
    </row>
    <row r="45" spans="1:14">
      <c r="A45" s="55" t="s">
        <v>83</v>
      </c>
      <c r="B45" s="55"/>
      <c r="C45" s="55"/>
      <c r="D45" s="55"/>
      <c r="E45" s="55"/>
      <c r="F45" s="55"/>
      <c r="G45" s="55"/>
      <c r="H45" s="55" t="s">
        <v>29</v>
      </c>
      <c r="I45" s="55"/>
      <c r="J45" s="115"/>
      <c r="K45" s="55"/>
      <c r="L45" s="109">
        <v>752760</v>
      </c>
    </row>
    <row r="46" spans="1:14">
      <c r="A46" s="55"/>
      <c r="B46" s="55"/>
      <c r="C46" s="55"/>
      <c r="D46" s="55"/>
      <c r="E46" s="55"/>
      <c r="F46" s="55"/>
      <c r="G46" s="55"/>
      <c r="H46" s="55"/>
      <c r="I46" s="55"/>
      <c r="J46" s="115"/>
      <c r="K46" s="55"/>
      <c r="L46" s="109">
        <v>902075</v>
      </c>
    </row>
    <row r="47" spans="1:14">
      <c r="A47" s="55"/>
      <c r="B47" s="55"/>
      <c r="C47" s="55"/>
      <c r="D47" s="55"/>
      <c r="E47" s="55"/>
      <c r="F47" s="55"/>
      <c r="G47" s="55"/>
      <c r="H47" s="172"/>
      <c r="I47" s="55"/>
      <c r="J47" s="115"/>
      <c r="K47" s="55"/>
      <c r="L47" s="109">
        <v>1032329.7</v>
      </c>
      <c r="M47" s="109">
        <v>1897753.11</v>
      </c>
    </row>
    <row r="48" spans="1:14">
      <c r="A48" s="55" t="s">
        <v>84</v>
      </c>
      <c r="B48" s="55"/>
      <c r="C48" s="55"/>
      <c r="D48" s="55"/>
      <c r="E48" s="55"/>
      <c r="F48" s="55"/>
      <c r="G48" s="55"/>
      <c r="H48" s="140" t="s">
        <v>194</v>
      </c>
      <c r="I48" s="55"/>
      <c r="J48" s="115"/>
      <c r="K48" s="55"/>
      <c r="L48" s="109">
        <v>504234.65</v>
      </c>
      <c r="M48" s="109">
        <v>8736531.7100000009</v>
      </c>
    </row>
    <row r="49" spans="1:13">
      <c r="A49" s="140" t="s">
        <v>86</v>
      </c>
      <c r="B49" s="55"/>
      <c r="C49" s="55"/>
      <c r="D49" s="55"/>
      <c r="E49" s="55"/>
      <c r="F49" s="55"/>
      <c r="G49" s="55"/>
      <c r="H49" s="140" t="s">
        <v>195</v>
      </c>
      <c r="I49" s="55"/>
      <c r="J49" s="115"/>
      <c r="K49" s="55"/>
      <c r="L49" s="109">
        <v>899145</v>
      </c>
      <c r="M49" s="109">
        <v>10140</v>
      </c>
    </row>
    <row r="50" spans="1:13">
      <c r="A50" s="55"/>
      <c r="B50" s="55"/>
      <c r="C50" s="55"/>
      <c r="D50" s="55"/>
      <c r="E50" s="121"/>
      <c r="F50" s="55"/>
      <c r="G50" s="55"/>
      <c r="H50" s="55"/>
      <c r="I50" s="55"/>
      <c r="J50" s="115"/>
      <c r="K50" s="55"/>
      <c r="L50" s="109">
        <v>1087927.3999999999</v>
      </c>
      <c r="M50" s="109">
        <f>SUM(M47:M49)</f>
        <v>10644424.82</v>
      </c>
    </row>
    <row r="51" spans="1:13">
      <c r="A51" s="55"/>
      <c r="B51" s="55"/>
      <c r="C51" s="55"/>
      <c r="D51" s="55"/>
      <c r="E51" s="115"/>
      <c r="F51" s="55"/>
      <c r="G51" s="55"/>
      <c r="H51" s="55"/>
      <c r="I51" s="115"/>
      <c r="J51" s="115"/>
      <c r="K51" s="55"/>
      <c r="L51" s="109">
        <v>2896515.5</v>
      </c>
    </row>
    <row r="52" spans="1:13">
      <c r="A52" s="55"/>
      <c r="B52" s="55"/>
      <c r="C52" s="55"/>
      <c r="D52" s="55"/>
      <c r="E52" s="55"/>
      <c r="F52" s="55"/>
      <c r="G52" s="55"/>
      <c r="H52" s="55"/>
      <c r="I52" s="115"/>
      <c r="J52" s="115"/>
      <c r="K52" s="55"/>
      <c r="L52" s="109">
        <v>120000</v>
      </c>
    </row>
    <row r="53" spans="1:13">
      <c r="I53" s="109"/>
      <c r="M53" s="46"/>
    </row>
    <row r="54" spans="1:13">
      <c r="F54" s="121">
        <f>F18-F55</f>
        <v>-1004120.3516499999</v>
      </c>
      <c r="I54" s="109"/>
      <c r="K54" s="55"/>
      <c r="L54" s="115">
        <v>630000</v>
      </c>
      <c r="M54" s="183">
        <v>10644424.82</v>
      </c>
    </row>
    <row r="55" spans="1:13">
      <c r="F55" s="115">
        <f>49980+103610+255752.8+265335+81917.75+32889+315132+287135.25+143400+640002.5</f>
        <v>2175154.2999999998</v>
      </c>
      <c r="I55" s="109"/>
      <c r="J55" s="109">
        <v>7850000</v>
      </c>
      <c r="L55" s="109">
        <v>1000000</v>
      </c>
      <c r="M55" s="183">
        <v>13157941.960000001</v>
      </c>
    </row>
    <row r="56" spans="1:13">
      <c r="I56" s="109"/>
      <c r="J56" s="109">
        <v>800000</v>
      </c>
      <c r="L56" s="109">
        <v>1300000</v>
      </c>
      <c r="M56" s="184">
        <v>0</v>
      </c>
    </row>
    <row r="57" spans="1:13">
      <c r="I57" s="109"/>
      <c r="J57" s="109">
        <v>1200000</v>
      </c>
      <c r="L57" s="109">
        <v>2000000</v>
      </c>
      <c r="M57" s="183">
        <f>SUM(M54:M56)</f>
        <v>23802366.780000001</v>
      </c>
    </row>
    <row r="58" spans="1:13">
      <c r="I58" s="109"/>
      <c r="J58" s="109">
        <v>3500000</v>
      </c>
      <c r="L58" s="109">
        <v>150000</v>
      </c>
      <c r="M58" s="183">
        <v>24092226.780000001</v>
      </c>
    </row>
    <row r="59" spans="1:13">
      <c r="I59" s="109">
        <v>100000</v>
      </c>
      <c r="J59" s="116">
        <f>SUM(J55:J58)</f>
        <v>13350000</v>
      </c>
      <c r="L59" s="109">
        <v>4590281.96</v>
      </c>
      <c r="M59" s="183">
        <f>M58-M57</f>
        <v>289860</v>
      </c>
    </row>
    <row r="60" spans="1:13">
      <c r="I60" s="109">
        <v>4589687.1100000003</v>
      </c>
      <c r="J60" s="109">
        <v>16829861.079999998</v>
      </c>
      <c r="L60" s="109">
        <f>SUM(L54:L59)</f>
        <v>9670281.9600000009</v>
      </c>
      <c r="M60" s="46"/>
    </row>
    <row r="61" spans="1:13">
      <c r="I61" s="116">
        <f>SUM(I55:I60)</f>
        <v>4689687.1100000003</v>
      </c>
      <c r="J61" s="109">
        <f>J59-J60</f>
        <v>-3479861.0799999982</v>
      </c>
      <c r="M61" s="109">
        <v>24416573.030000001</v>
      </c>
    </row>
    <row r="62" spans="1:13">
      <c r="I62" s="109">
        <v>7212797.6100000003</v>
      </c>
      <c r="M62" s="109">
        <v>24708913.030000001</v>
      </c>
    </row>
    <row r="63" spans="1:13">
      <c r="I63" s="109">
        <f>I61-I62</f>
        <v>-2523110.5</v>
      </c>
      <c r="M63" s="109">
        <f>M61-M62</f>
        <v>-292340</v>
      </c>
    </row>
    <row r="64" spans="1:13">
      <c r="I64" s="109"/>
      <c r="M64" s="109">
        <v>289860</v>
      </c>
    </row>
    <row r="65" spans="1:13">
      <c r="I65" s="109"/>
      <c r="J65" s="109">
        <v>25346381.800000001</v>
      </c>
      <c r="M65" s="173">
        <f>SUM(M63:M64)</f>
        <v>-2480</v>
      </c>
    </row>
    <row r="66" spans="1:13">
      <c r="I66" s="109"/>
      <c r="J66" s="109">
        <v>24042658.690000001</v>
      </c>
      <c r="M66" s="46"/>
    </row>
    <row r="67" spans="1:13">
      <c r="I67" s="109"/>
      <c r="J67" s="109">
        <f>J65-J66</f>
        <v>1303723.1099999994</v>
      </c>
      <c r="L67" s="109">
        <v>400000</v>
      </c>
      <c r="M67" s="46"/>
    </row>
    <row r="68" spans="1:13">
      <c r="I68" s="109"/>
      <c r="L68" s="109">
        <v>1000000</v>
      </c>
      <c r="M68" s="109">
        <v>25279.7</v>
      </c>
    </row>
    <row r="69" spans="1:13">
      <c r="I69" s="109"/>
      <c r="M69" s="109">
        <v>27759.7</v>
      </c>
    </row>
    <row r="70" spans="1:13">
      <c r="H70" s="109"/>
      <c r="I70" s="109"/>
      <c r="M70" s="173">
        <f>M68-M69</f>
        <v>-2480</v>
      </c>
    </row>
    <row r="71" spans="1:13">
      <c r="H71" s="109">
        <v>4455551.57</v>
      </c>
      <c r="I71" s="109"/>
      <c r="J71" s="109">
        <v>17496381.800000001</v>
      </c>
      <c r="M71" s="46"/>
    </row>
    <row r="72" spans="1:13">
      <c r="H72" s="109">
        <v>5760963.6399999997</v>
      </c>
      <c r="I72" s="109"/>
      <c r="J72" s="109">
        <v>7850000</v>
      </c>
      <c r="M72" s="46"/>
    </row>
    <row r="73" spans="1:13">
      <c r="H73" s="109">
        <f>SUM(H71:H72)</f>
        <v>10216515.210000001</v>
      </c>
      <c r="I73" s="109"/>
      <c r="J73" s="109">
        <f>SUM(J71:J72)</f>
        <v>25346381.800000001</v>
      </c>
      <c r="M73" s="46"/>
    </row>
    <row r="74" spans="1:13" s="109" customFormat="1">
      <c r="A74" s="46"/>
      <c r="B74" s="46"/>
      <c r="C74" s="46"/>
      <c r="D74" s="46"/>
      <c r="E74" s="46"/>
      <c r="F74" s="46"/>
      <c r="G74" s="46"/>
    </row>
    <row r="75" spans="1:13" s="109" customFormat="1">
      <c r="A75" s="46"/>
      <c r="B75" s="46"/>
      <c r="C75" s="46"/>
      <c r="D75" s="46"/>
      <c r="E75" s="46"/>
      <c r="F75" s="46"/>
      <c r="G75" s="46"/>
    </row>
    <row r="76" spans="1:13" s="109" customFormat="1">
      <c r="A76" s="46"/>
      <c r="B76" s="46"/>
      <c r="C76" s="46"/>
      <c r="D76" s="46"/>
      <c r="E76" s="46"/>
      <c r="F76" s="46"/>
      <c r="G76" s="46"/>
    </row>
    <row r="77" spans="1:13" s="109" customFormat="1">
      <c r="A77" s="46"/>
      <c r="B77" s="46"/>
      <c r="C77" s="46"/>
      <c r="D77" s="46"/>
      <c r="E77" s="46"/>
      <c r="F77" s="46"/>
      <c r="G77" s="46"/>
    </row>
    <row r="78" spans="1:13" s="109" customFormat="1">
      <c r="A78" s="46"/>
      <c r="B78" s="46"/>
      <c r="C78" s="46"/>
      <c r="D78" s="46"/>
      <c r="E78" s="46"/>
      <c r="F78" s="46"/>
      <c r="G78" s="46"/>
    </row>
    <row r="79" spans="1:13" s="109" customFormat="1">
      <c r="A79" s="46"/>
      <c r="B79" s="46"/>
      <c r="C79" s="46"/>
      <c r="D79" s="46"/>
      <c r="E79" s="46"/>
      <c r="F79" s="46"/>
      <c r="G79" s="46"/>
    </row>
    <row r="80" spans="1:13" s="109" customFormat="1">
      <c r="A80" s="46"/>
      <c r="B80" s="46"/>
      <c r="C80" s="46"/>
      <c r="D80" s="46"/>
      <c r="E80" s="46"/>
      <c r="F80" s="46"/>
      <c r="G80" s="46"/>
      <c r="H80" s="46"/>
    </row>
    <row r="81" spans="1:11" s="109" customFormat="1">
      <c r="A81" s="46"/>
      <c r="B81" s="46"/>
      <c r="C81" s="46"/>
      <c r="D81" s="46"/>
      <c r="E81" s="46"/>
      <c r="F81" s="46"/>
      <c r="G81" s="46"/>
      <c r="H81" s="46"/>
    </row>
    <row r="82" spans="1:11" s="109" customFormat="1">
      <c r="A82" s="46"/>
      <c r="B82" s="46"/>
      <c r="C82" s="46"/>
      <c r="D82" s="46"/>
      <c r="E82" s="46"/>
      <c r="F82" s="46"/>
      <c r="G82" s="46"/>
      <c r="H82" s="46"/>
    </row>
    <row r="83" spans="1:11" s="109" customFormat="1">
      <c r="A83" s="46"/>
      <c r="B83" s="46"/>
      <c r="C83" s="46"/>
      <c r="D83" s="46"/>
      <c r="E83" s="46"/>
      <c r="F83" s="46"/>
      <c r="G83" s="46"/>
      <c r="H83" s="46"/>
    </row>
    <row r="84" spans="1:11" s="109" customFormat="1">
      <c r="A84" s="46"/>
      <c r="B84" s="46"/>
      <c r="C84" s="46"/>
      <c r="D84" s="46"/>
      <c r="E84" s="46"/>
      <c r="F84" s="46"/>
      <c r="G84" s="46"/>
      <c r="H84" s="46"/>
      <c r="K84" s="46"/>
    </row>
    <row r="85" spans="1:11" s="109" customFormat="1">
      <c r="A85" s="46"/>
      <c r="B85" s="46"/>
      <c r="C85" s="46"/>
      <c r="D85" s="46"/>
      <c r="E85" s="46"/>
      <c r="F85" s="46"/>
      <c r="G85" s="46"/>
      <c r="H85" s="46"/>
      <c r="K85" s="46"/>
    </row>
    <row r="86" spans="1:11" s="109" customFormat="1">
      <c r="A86" s="46"/>
      <c r="B86" s="46"/>
      <c r="C86" s="46"/>
      <c r="D86" s="46"/>
      <c r="E86" s="46"/>
      <c r="F86" s="46"/>
      <c r="G86" s="46"/>
      <c r="H86" s="46"/>
      <c r="K86" s="46"/>
    </row>
    <row r="87" spans="1:11" s="109" customFormat="1">
      <c r="A87" s="46"/>
      <c r="B87" s="46"/>
      <c r="C87" s="46"/>
      <c r="D87" s="46"/>
      <c r="E87" s="46"/>
      <c r="F87" s="46"/>
      <c r="G87" s="46"/>
      <c r="H87" s="46"/>
      <c r="K87" s="46"/>
    </row>
    <row r="88" spans="1:11" s="109" customFormat="1">
      <c r="A88" s="46"/>
      <c r="B88" s="46"/>
      <c r="C88" s="46"/>
      <c r="D88" s="46"/>
      <c r="E88" s="46"/>
      <c r="F88" s="46"/>
      <c r="G88" s="46"/>
      <c r="H88" s="46"/>
      <c r="K88" s="46"/>
    </row>
    <row r="89" spans="1:11" s="109" customFormat="1">
      <c r="A89" s="46"/>
      <c r="B89" s="46"/>
      <c r="C89" s="46"/>
      <c r="D89" s="46"/>
      <c r="E89" s="46"/>
      <c r="F89" s="46"/>
      <c r="G89" s="46"/>
      <c r="H89" s="46"/>
      <c r="K89" s="46"/>
    </row>
    <row r="90" spans="1:11" s="109" customFormat="1">
      <c r="A90" s="46"/>
      <c r="B90" s="46"/>
      <c r="C90" s="46"/>
      <c r="D90" s="46"/>
      <c r="E90" s="46"/>
      <c r="F90" s="46"/>
      <c r="G90" s="46"/>
      <c r="H90" s="46"/>
      <c r="K90" s="46"/>
    </row>
    <row r="91" spans="1:11" s="109" customFormat="1">
      <c r="A91" s="46"/>
      <c r="B91" s="46"/>
      <c r="C91" s="46"/>
      <c r="D91" s="46"/>
      <c r="E91" s="46"/>
      <c r="F91" s="46"/>
      <c r="G91" s="46"/>
      <c r="H91" s="46"/>
      <c r="K91" s="46"/>
    </row>
    <row r="92" spans="1:11" s="109" customFormat="1">
      <c r="A92" s="46"/>
      <c r="B92" s="46"/>
      <c r="C92" s="46"/>
      <c r="D92" s="46"/>
      <c r="E92" s="46"/>
      <c r="F92" s="46"/>
      <c r="G92" s="46"/>
      <c r="H92" s="46"/>
      <c r="K92" s="46"/>
    </row>
    <row r="93" spans="1:11" s="109" customFormat="1">
      <c r="A93" s="46"/>
      <c r="B93" s="46"/>
      <c r="C93" s="46"/>
      <c r="D93" s="46"/>
      <c r="E93" s="46"/>
      <c r="F93" s="46"/>
      <c r="G93" s="46"/>
      <c r="H93" s="46"/>
      <c r="K93" s="46"/>
    </row>
    <row r="94" spans="1:11" s="109" customFormat="1">
      <c r="A94" s="46"/>
      <c r="B94" s="46"/>
      <c r="C94" s="46"/>
      <c r="D94" s="46"/>
      <c r="E94" s="46"/>
      <c r="F94" s="46"/>
      <c r="G94" s="46"/>
      <c r="H94" s="46"/>
      <c r="K94" s="46"/>
    </row>
    <row r="95" spans="1:11" s="109" customFormat="1">
      <c r="A95" s="46"/>
      <c r="B95" s="46"/>
      <c r="C95" s="46"/>
      <c r="D95" s="46"/>
      <c r="E95" s="46"/>
      <c r="F95" s="46"/>
      <c r="G95" s="46"/>
      <c r="H95" s="46"/>
      <c r="K95" s="46"/>
    </row>
    <row r="96" spans="1:11" s="109" customFormat="1">
      <c r="A96" s="46"/>
      <c r="B96" s="46"/>
      <c r="C96" s="46"/>
      <c r="D96" s="46"/>
      <c r="E96" s="46"/>
      <c r="F96" s="46"/>
      <c r="G96" s="46"/>
      <c r="H96" s="46"/>
      <c r="K96" s="46"/>
    </row>
    <row r="97" spans="1:11" s="109" customFormat="1">
      <c r="A97" s="46"/>
      <c r="B97" s="46"/>
      <c r="C97" s="46"/>
      <c r="D97" s="46"/>
      <c r="E97" s="46"/>
      <c r="F97" s="46"/>
      <c r="G97" s="46"/>
      <c r="H97" s="46"/>
      <c r="K97" s="46"/>
    </row>
    <row r="98" spans="1:11" s="109" customFormat="1">
      <c r="A98" s="46"/>
      <c r="B98" s="46"/>
      <c r="C98" s="46"/>
      <c r="D98" s="46"/>
      <c r="E98" s="46"/>
      <c r="F98" s="46"/>
      <c r="G98" s="46"/>
      <c r="H98" s="46"/>
      <c r="K98" s="46"/>
    </row>
    <row r="99" spans="1:11" s="109" customFormat="1">
      <c r="A99" s="46"/>
      <c r="B99" s="46"/>
      <c r="C99" s="46"/>
      <c r="D99" s="46"/>
      <c r="E99" s="46"/>
      <c r="F99" s="46"/>
      <c r="G99" s="46"/>
      <c r="H99" s="46"/>
      <c r="K99" s="46"/>
    </row>
    <row r="100" spans="1:11" s="109" customFormat="1">
      <c r="A100" s="46"/>
      <c r="B100" s="46"/>
      <c r="C100" s="46"/>
      <c r="D100" s="46"/>
      <c r="E100" s="46"/>
      <c r="F100" s="46"/>
      <c r="G100" s="46"/>
      <c r="H100" s="46"/>
      <c r="K100" s="46"/>
    </row>
    <row r="101" spans="1:11" s="109" customFormat="1">
      <c r="A101" s="46"/>
      <c r="B101" s="46"/>
      <c r="C101" s="46"/>
      <c r="D101" s="46"/>
      <c r="E101" s="46"/>
      <c r="F101" s="46"/>
      <c r="G101" s="46"/>
      <c r="H101" s="46"/>
      <c r="K101" s="46"/>
    </row>
    <row r="102" spans="1:11" s="109" customFormat="1">
      <c r="A102" s="46"/>
      <c r="B102" s="46"/>
      <c r="C102" s="46"/>
      <c r="D102" s="46"/>
      <c r="E102" s="46"/>
      <c r="F102" s="46"/>
      <c r="G102" s="46"/>
      <c r="H102" s="46"/>
      <c r="K102" s="46"/>
    </row>
    <row r="103" spans="1:11" s="109" customFormat="1">
      <c r="A103" s="46"/>
      <c r="B103" s="46"/>
      <c r="C103" s="46"/>
      <c r="D103" s="46"/>
      <c r="E103" s="46"/>
      <c r="F103" s="46"/>
      <c r="G103" s="46"/>
      <c r="H103" s="46"/>
      <c r="K103" s="46"/>
    </row>
    <row r="104" spans="1:11" s="109" customFormat="1">
      <c r="A104" s="46"/>
      <c r="B104" s="46"/>
      <c r="C104" s="46"/>
      <c r="D104" s="46"/>
      <c r="E104" s="46"/>
      <c r="F104" s="46"/>
      <c r="G104" s="46"/>
      <c r="H104" s="46"/>
      <c r="K104" s="46"/>
    </row>
    <row r="105" spans="1:11" s="109" customFormat="1">
      <c r="A105" s="46"/>
      <c r="B105" s="46"/>
      <c r="C105" s="46"/>
      <c r="D105" s="46"/>
      <c r="E105" s="46"/>
      <c r="F105" s="46"/>
      <c r="G105" s="46"/>
      <c r="H105" s="46"/>
      <c r="K105" s="46"/>
    </row>
    <row r="106" spans="1:11" s="109" customFormat="1">
      <c r="A106" s="46"/>
      <c r="B106" s="46"/>
      <c r="C106" s="46"/>
      <c r="D106" s="46"/>
      <c r="E106" s="46"/>
      <c r="F106" s="46"/>
      <c r="G106" s="46"/>
      <c r="H106" s="46"/>
      <c r="K106" s="46"/>
    </row>
    <row r="107" spans="1:11" s="109" customFormat="1">
      <c r="A107" s="46"/>
      <c r="B107" s="46"/>
      <c r="C107" s="46"/>
      <c r="D107" s="46"/>
      <c r="E107" s="46"/>
      <c r="F107" s="46"/>
      <c r="G107" s="46"/>
      <c r="H107" s="46"/>
      <c r="K107" s="46"/>
    </row>
    <row r="108" spans="1:11" s="109" customFormat="1">
      <c r="A108" s="46"/>
      <c r="B108" s="46"/>
      <c r="C108" s="46"/>
      <c r="D108" s="46"/>
      <c r="E108" s="46"/>
      <c r="F108" s="46"/>
      <c r="G108" s="46"/>
      <c r="H108" s="46"/>
      <c r="K108" s="46"/>
    </row>
    <row r="109" spans="1:11" s="109" customFormat="1">
      <c r="A109" s="46"/>
      <c r="B109" s="46"/>
      <c r="C109" s="46"/>
      <c r="D109" s="46"/>
      <c r="E109" s="46"/>
      <c r="F109" s="46"/>
      <c r="G109" s="46"/>
      <c r="H109" s="46"/>
      <c r="K109" s="46"/>
    </row>
    <row r="110" spans="1:11" s="109" customFormat="1">
      <c r="A110" s="46"/>
      <c r="B110" s="46"/>
      <c r="C110" s="46"/>
      <c r="D110" s="46"/>
      <c r="E110" s="46"/>
      <c r="F110" s="46"/>
      <c r="G110" s="46"/>
      <c r="H110" s="46"/>
      <c r="K110" s="46"/>
    </row>
    <row r="111" spans="1:11" s="109" customFormat="1">
      <c r="A111" s="46"/>
      <c r="B111" s="46"/>
      <c r="C111" s="46"/>
      <c r="D111" s="46"/>
      <c r="E111" s="46"/>
      <c r="F111" s="46"/>
      <c r="G111" s="46"/>
      <c r="H111" s="46"/>
      <c r="K111" s="46"/>
    </row>
    <row r="112" spans="1:11" s="109" customFormat="1">
      <c r="A112" s="46"/>
      <c r="B112" s="46"/>
      <c r="C112" s="46"/>
      <c r="D112" s="46"/>
      <c r="E112" s="46"/>
      <c r="F112" s="46"/>
      <c r="G112" s="46"/>
      <c r="H112" s="46"/>
      <c r="K112" s="46"/>
    </row>
    <row r="113" spans="1:11" s="109" customFormat="1">
      <c r="A113" s="46"/>
      <c r="B113" s="46"/>
      <c r="C113" s="46"/>
      <c r="D113" s="46"/>
      <c r="E113" s="46"/>
      <c r="F113" s="46"/>
      <c r="G113" s="46"/>
      <c r="H113" s="46"/>
      <c r="K113" s="46"/>
    </row>
    <row r="114" spans="1:11" s="109" customFormat="1">
      <c r="A114" s="46"/>
      <c r="B114" s="46"/>
      <c r="C114" s="46"/>
      <c r="D114" s="46"/>
      <c r="E114" s="46"/>
      <c r="F114" s="46"/>
      <c r="G114" s="46"/>
      <c r="H114" s="46"/>
      <c r="K114" s="46"/>
    </row>
    <row r="115" spans="1:11" s="109" customFormat="1">
      <c r="A115" s="46"/>
      <c r="B115" s="46"/>
      <c r="C115" s="46"/>
      <c r="D115" s="46"/>
      <c r="E115" s="46"/>
      <c r="F115" s="46"/>
      <c r="G115" s="46"/>
      <c r="H115" s="46"/>
      <c r="K115" s="46"/>
    </row>
    <row r="116" spans="1:11" s="109" customFormat="1">
      <c r="A116" s="46"/>
      <c r="B116" s="46"/>
      <c r="C116" s="46"/>
      <c r="D116" s="46"/>
      <c r="E116" s="46"/>
      <c r="F116" s="46"/>
      <c r="G116" s="46"/>
      <c r="H116" s="46"/>
      <c r="K116" s="46"/>
    </row>
    <row r="117" spans="1:11" s="109" customFormat="1">
      <c r="A117" s="46"/>
      <c r="B117" s="46"/>
      <c r="C117" s="46"/>
      <c r="D117" s="46"/>
      <c r="E117" s="46"/>
      <c r="F117" s="46"/>
      <c r="G117" s="46"/>
      <c r="H117" s="46"/>
      <c r="K117" s="46"/>
    </row>
    <row r="118" spans="1:11" s="109" customFormat="1">
      <c r="A118" s="46"/>
      <c r="B118" s="46"/>
      <c r="C118" s="46"/>
      <c r="D118" s="46"/>
      <c r="E118" s="46"/>
      <c r="F118" s="46"/>
      <c r="G118" s="46"/>
      <c r="H118" s="46"/>
      <c r="K118" s="46"/>
    </row>
    <row r="119" spans="1:11" s="109" customFormat="1">
      <c r="A119" s="46"/>
      <c r="B119" s="46"/>
      <c r="C119" s="46"/>
      <c r="D119" s="46"/>
      <c r="E119" s="46"/>
      <c r="F119" s="46"/>
      <c r="G119" s="46"/>
      <c r="H119" s="46"/>
      <c r="K119" s="46"/>
    </row>
    <row r="120" spans="1:11" s="109" customFormat="1">
      <c r="A120" s="46"/>
      <c r="B120" s="46"/>
      <c r="C120" s="46"/>
      <c r="D120" s="46"/>
      <c r="E120" s="46"/>
      <c r="F120" s="46"/>
      <c r="G120" s="46"/>
      <c r="H120" s="46"/>
      <c r="K120" s="46"/>
    </row>
    <row r="121" spans="1:11" s="109" customFormat="1">
      <c r="A121" s="46"/>
      <c r="B121" s="46"/>
      <c r="C121" s="46"/>
      <c r="D121" s="46"/>
      <c r="E121" s="46"/>
      <c r="F121" s="46"/>
      <c r="G121" s="46"/>
      <c r="H121" s="46"/>
      <c r="K121" s="46"/>
    </row>
    <row r="122" spans="1:11" s="109" customFormat="1">
      <c r="A122" s="46"/>
      <c r="B122" s="46"/>
      <c r="C122" s="46"/>
      <c r="D122" s="46"/>
      <c r="E122" s="46"/>
      <c r="F122" s="46"/>
      <c r="G122" s="46"/>
      <c r="H122" s="46"/>
      <c r="K122" s="46"/>
    </row>
    <row r="123" spans="1:11" s="109" customFormat="1">
      <c r="A123" s="46"/>
      <c r="B123" s="46"/>
      <c r="C123" s="46"/>
      <c r="D123" s="46"/>
      <c r="E123" s="46"/>
      <c r="F123" s="46"/>
      <c r="G123" s="46"/>
      <c r="H123" s="46"/>
      <c r="K123" s="46"/>
    </row>
    <row r="124" spans="1:11" s="109" customFormat="1">
      <c r="A124" s="46"/>
      <c r="B124" s="46"/>
      <c r="C124" s="46"/>
      <c r="D124" s="46"/>
      <c r="E124" s="46"/>
      <c r="F124" s="46"/>
      <c r="G124" s="46"/>
      <c r="H124" s="46"/>
      <c r="K124" s="46"/>
    </row>
    <row r="125" spans="1:11" s="109" customFormat="1">
      <c r="A125" s="46"/>
      <c r="B125" s="46"/>
      <c r="C125" s="46"/>
      <c r="D125" s="46"/>
      <c r="E125" s="46"/>
      <c r="F125" s="46"/>
      <c r="G125" s="46"/>
      <c r="H125" s="46"/>
      <c r="K125" s="46"/>
    </row>
    <row r="126" spans="1:11" s="109" customFormat="1">
      <c r="A126" s="46"/>
      <c r="B126" s="46"/>
      <c r="C126" s="46"/>
      <c r="D126" s="46"/>
      <c r="E126" s="46"/>
      <c r="F126" s="46"/>
      <c r="G126" s="46"/>
      <c r="H126" s="46"/>
      <c r="K126" s="46"/>
    </row>
    <row r="127" spans="1:11" s="109" customFormat="1">
      <c r="A127" s="46"/>
      <c r="B127" s="46"/>
      <c r="C127" s="46"/>
      <c r="D127" s="46"/>
      <c r="E127" s="46"/>
      <c r="F127" s="46"/>
      <c r="G127" s="46"/>
      <c r="H127" s="46"/>
      <c r="K127" s="46"/>
    </row>
    <row r="128" spans="1:11" s="109" customFormat="1">
      <c r="A128" s="46"/>
      <c r="B128" s="46"/>
      <c r="C128" s="46"/>
      <c r="D128" s="46"/>
      <c r="E128" s="46"/>
      <c r="F128" s="46"/>
      <c r="G128" s="46"/>
      <c r="H128" s="46"/>
      <c r="K128" s="46"/>
    </row>
    <row r="129" spans="1:11" s="109" customFormat="1">
      <c r="A129" s="46"/>
      <c r="B129" s="46"/>
      <c r="C129" s="46"/>
      <c r="D129" s="46"/>
      <c r="E129" s="46"/>
      <c r="F129" s="46"/>
      <c r="G129" s="46"/>
      <c r="H129" s="46"/>
      <c r="K129" s="46"/>
    </row>
    <row r="130" spans="1:11" s="109" customFormat="1">
      <c r="A130" s="46"/>
      <c r="B130" s="46"/>
      <c r="C130" s="46"/>
      <c r="D130" s="46"/>
      <c r="E130" s="46"/>
      <c r="F130" s="46"/>
      <c r="G130" s="46"/>
      <c r="H130" s="46"/>
      <c r="K130" s="46"/>
    </row>
    <row r="131" spans="1:11" s="109" customFormat="1">
      <c r="A131" s="46"/>
      <c r="B131" s="46"/>
      <c r="C131" s="46"/>
      <c r="D131" s="46"/>
      <c r="E131" s="46"/>
      <c r="F131" s="46"/>
      <c r="G131" s="46"/>
      <c r="H131" s="46"/>
      <c r="K131" s="46"/>
    </row>
    <row r="132" spans="1:11" s="109" customFormat="1">
      <c r="A132" s="46"/>
      <c r="B132" s="46"/>
      <c r="C132" s="46"/>
      <c r="D132" s="46"/>
      <c r="E132" s="46"/>
      <c r="F132" s="46"/>
      <c r="G132" s="46"/>
      <c r="H132" s="46"/>
      <c r="K132" s="46"/>
    </row>
    <row r="133" spans="1:11" s="109" customFormat="1">
      <c r="A133" s="46"/>
      <c r="B133" s="46"/>
      <c r="C133" s="46"/>
      <c r="D133" s="46"/>
      <c r="E133" s="46"/>
      <c r="F133" s="46"/>
      <c r="G133" s="46"/>
      <c r="H133" s="46"/>
      <c r="K133" s="46"/>
    </row>
    <row r="134" spans="1:11" s="109" customFormat="1">
      <c r="A134" s="46"/>
      <c r="B134" s="46"/>
      <c r="C134" s="46"/>
      <c r="D134" s="46"/>
      <c r="E134" s="46"/>
      <c r="F134" s="46"/>
      <c r="G134" s="46"/>
      <c r="H134" s="46"/>
      <c r="K134" s="46"/>
    </row>
    <row r="135" spans="1:11" s="109" customFormat="1">
      <c r="A135" s="46"/>
      <c r="B135" s="46"/>
      <c r="C135" s="46"/>
      <c r="D135" s="46"/>
      <c r="E135" s="46"/>
      <c r="F135" s="46"/>
      <c r="G135" s="46"/>
      <c r="H135" s="46"/>
      <c r="K135" s="46"/>
    </row>
    <row r="136" spans="1:11" s="109" customFormat="1">
      <c r="A136" s="46"/>
      <c r="B136" s="46"/>
      <c r="C136" s="46"/>
      <c r="D136" s="46"/>
      <c r="E136" s="46"/>
      <c r="F136" s="46"/>
      <c r="G136" s="46"/>
      <c r="H136" s="46"/>
      <c r="K136" s="46"/>
    </row>
    <row r="137" spans="1:11" s="109" customFormat="1">
      <c r="A137" s="46"/>
      <c r="B137" s="46"/>
      <c r="C137" s="46"/>
      <c r="D137" s="46"/>
      <c r="E137" s="46"/>
      <c r="F137" s="46"/>
      <c r="G137" s="46"/>
      <c r="H137" s="46"/>
      <c r="K137" s="46"/>
    </row>
    <row r="138" spans="1:11" s="109" customFormat="1">
      <c r="A138" s="46"/>
      <c r="B138" s="46"/>
      <c r="C138" s="46"/>
      <c r="D138" s="46"/>
      <c r="E138" s="46"/>
      <c r="F138" s="46"/>
      <c r="G138" s="46"/>
      <c r="H138" s="46"/>
      <c r="K138" s="46"/>
    </row>
    <row r="139" spans="1:11" s="109" customFormat="1">
      <c r="A139" s="46"/>
      <c r="B139" s="46"/>
      <c r="C139" s="46"/>
      <c r="D139" s="46"/>
      <c r="E139" s="46"/>
      <c r="F139" s="46"/>
      <c r="G139" s="46"/>
      <c r="H139" s="46"/>
      <c r="K139" s="46"/>
    </row>
    <row r="140" spans="1:11" s="109" customFormat="1">
      <c r="A140" s="46"/>
      <c r="B140" s="46"/>
      <c r="C140" s="46"/>
      <c r="D140" s="46"/>
      <c r="E140" s="46"/>
      <c r="F140" s="46"/>
      <c r="G140" s="46"/>
      <c r="H140" s="46"/>
      <c r="K140" s="46"/>
    </row>
    <row r="141" spans="1:11" s="109" customFormat="1">
      <c r="A141" s="46"/>
      <c r="B141" s="46"/>
      <c r="C141" s="46"/>
      <c r="D141" s="46"/>
      <c r="E141" s="46"/>
      <c r="F141" s="46"/>
      <c r="G141" s="46"/>
      <c r="H141" s="46"/>
      <c r="K141" s="46"/>
    </row>
    <row r="142" spans="1:11" s="109" customFormat="1">
      <c r="A142" s="46"/>
      <c r="B142" s="46"/>
      <c r="C142" s="46"/>
      <c r="D142" s="46"/>
      <c r="E142" s="46"/>
      <c r="F142" s="46"/>
      <c r="G142" s="46"/>
      <c r="H142" s="46"/>
      <c r="K142" s="46"/>
    </row>
    <row r="143" spans="1:11" s="109" customFormat="1">
      <c r="A143" s="46"/>
      <c r="B143" s="46"/>
      <c r="C143" s="46"/>
      <c r="D143" s="46"/>
      <c r="E143" s="46"/>
      <c r="F143" s="46"/>
      <c r="G143" s="46"/>
      <c r="H143" s="46"/>
      <c r="K143" s="46"/>
    </row>
    <row r="144" spans="1:11" s="109" customFormat="1">
      <c r="A144" s="46"/>
      <c r="B144" s="46"/>
      <c r="C144" s="46"/>
      <c r="D144" s="46"/>
      <c r="E144" s="46"/>
      <c r="F144" s="46"/>
      <c r="G144" s="46"/>
      <c r="H144" s="46"/>
      <c r="K144" s="46"/>
    </row>
    <row r="145" spans="1:11" s="109" customFormat="1">
      <c r="A145" s="46"/>
      <c r="B145" s="46"/>
      <c r="C145" s="46"/>
      <c r="D145" s="46"/>
      <c r="E145" s="46"/>
      <c r="F145" s="46"/>
      <c r="G145" s="46"/>
      <c r="H145" s="46"/>
      <c r="K145" s="46"/>
    </row>
    <row r="146" spans="1:11" s="109" customFormat="1">
      <c r="A146" s="46"/>
      <c r="B146" s="46"/>
      <c r="C146" s="46"/>
      <c r="D146" s="46"/>
      <c r="E146" s="46"/>
      <c r="F146" s="46"/>
      <c r="G146" s="46"/>
      <c r="H146" s="46"/>
      <c r="K146" s="46"/>
    </row>
    <row r="147" spans="1:11" s="109" customFormat="1">
      <c r="A147" s="46"/>
      <c r="B147" s="46"/>
      <c r="C147" s="46"/>
      <c r="D147" s="46"/>
      <c r="E147" s="46"/>
      <c r="F147" s="46"/>
      <c r="G147" s="46"/>
      <c r="H147" s="46"/>
      <c r="K147" s="46"/>
    </row>
    <row r="148" spans="1:11" s="109" customFormat="1">
      <c r="A148" s="46"/>
      <c r="B148" s="46"/>
      <c r="C148" s="46"/>
      <c r="D148" s="46"/>
      <c r="E148" s="46"/>
      <c r="F148" s="46"/>
      <c r="G148" s="46"/>
      <c r="H148" s="46"/>
      <c r="K148" s="46"/>
    </row>
    <row r="149" spans="1:11" s="109" customFormat="1">
      <c r="A149" s="46"/>
      <c r="B149" s="46"/>
      <c r="C149" s="46"/>
      <c r="D149" s="46"/>
      <c r="E149" s="46"/>
      <c r="F149" s="46"/>
      <c r="G149" s="46"/>
      <c r="H149" s="46"/>
      <c r="K149" s="46"/>
    </row>
    <row r="150" spans="1:11" s="109" customFormat="1">
      <c r="A150" s="46"/>
      <c r="B150" s="46"/>
      <c r="C150" s="46"/>
      <c r="D150" s="46"/>
      <c r="E150" s="46"/>
      <c r="F150" s="46"/>
      <c r="G150" s="46"/>
      <c r="H150" s="46"/>
      <c r="K150" s="46"/>
    </row>
    <row r="151" spans="1:11" s="109" customFormat="1">
      <c r="A151" s="46"/>
      <c r="B151" s="46"/>
      <c r="C151" s="46"/>
      <c r="D151" s="46"/>
      <c r="E151" s="46"/>
      <c r="F151" s="46"/>
      <c r="G151" s="46"/>
      <c r="H151" s="46"/>
      <c r="K151" s="46"/>
    </row>
    <row r="152" spans="1:11" s="109" customFormat="1">
      <c r="A152" s="46"/>
      <c r="B152" s="46"/>
      <c r="C152" s="46"/>
      <c r="D152" s="46"/>
      <c r="E152" s="46"/>
      <c r="F152" s="46"/>
      <c r="G152" s="46"/>
      <c r="H152" s="46"/>
      <c r="K152" s="46"/>
    </row>
    <row r="153" spans="1:11" s="109" customFormat="1">
      <c r="A153" s="46"/>
      <c r="B153" s="46"/>
      <c r="C153" s="46"/>
      <c r="D153" s="46"/>
      <c r="E153" s="46"/>
      <c r="F153" s="46"/>
      <c r="G153" s="46"/>
      <c r="H153" s="46"/>
      <c r="K153" s="46"/>
    </row>
    <row r="154" spans="1:11" s="109" customFormat="1">
      <c r="A154" s="46"/>
      <c r="B154" s="46"/>
      <c r="C154" s="46"/>
      <c r="D154" s="46"/>
      <c r="E154" s="46"/>
      <c r="F154" s="46"/>
      <c r="G154" s="46"/>
      <c r="H154" s="46"/>
      <c r="K154" s="46"/>
    </row>
    <row r="155" spans="1:11" s="109" customFormat="1">
      <c r="A155" s="46"/>
      <c r="B155" s="46"/>
      <c r="C155" s="46"/>
      <c r="D155" s="46"/>
      <c r="E155" s="46"/>
      <c r="F155" s="46"/>
      <c r="G155" s="46"/>
      <c r="H155" s="46"/>
      <c r="K155" s="46"/>
    </row>
    <row r="156" spans="1:11" s="109" customFormat="1">
      <c r="A156" s="46"/>
      <c r="B156" s="46"/>
      <c r="C156" s="46"/>
      <c r="D156" s="46"/>
      <c r="E156" s="46"/>
      <c r="F156" s="46"/>
      <c r="G156" s="46"/>
      <c r="H156" s="46"/>
      <c r="K156" s="46"/>
    </row>
    <row r="157" spans="1:11" s="109" customFormat="1">
      <c r="A157" s="46"/>
      <c r="B157" s="46"/>
      <c r="C157" s="46"/>
      <c r="D157" s="46"/>
      <c r="E157" s="46"/>
      <c r="F157" s="46"/>
      <c r="G157" s="46"/>
      <c r="H157" s="46"/>
      <c r="K157" s="46"/>
    </row>
    <row r="158" spans="1:11" s="109" customFormat="1">
      <c r="A158" s="46"/>
      <c r="B158" s="46"/>
      <c r="C158" s="46"/>
      <c r="D158" s="46"/>
      <c r="E158" s="46"/>
      <c r="F158" s="46"/>
      <c r="G158" s="46"/>
      <c r="H158" s="46"/>
      <c r="K158" s="46"/>
    </row>
    <row r="159" spans="1:11" s="109" customFormat="1">
      <c r="A159" s="46"/>
      <c r="B159" s="46"/>
      <c r="C159" s="46"/>
      <c r="D159" s="46"/>
      <c r="E159" s="46"/>
      <c r="F159" s="46"/>
      <c r="G159" s="46"/>
      <c r="H159" s="46"/>
      <c r="K159" s="46"/>
    </row>
    <row r="160" spans="1:11" s="109" customFormat="1">
      <c r="A160" s="46"/>
      <c r="B160" s="46"/>
      <c r="C160" s="46"/>
      <c r="D160" s="46"/>
      <c r="E160" s="46"/>
      <c r="F160" s="46"/>
      <c r="G160" s="46"/>
      <c r="H160" s="46"/>
      <c r="K160" s="46"/>
    </row>
    <row r="161" spans="1:11" s="109" customFormat="1">
      <c r="A161" s="46"/>
      <c r="B161" s="46"/>
      <c r="C161" s="46"/>
      <c r="D161" s="46"/>
      <c r="E161" s="46"/>
      <c r="F161" s="46"/>
      <c r="G161" s="46"/>
      <c r="H161" s="46"/>
      <c r="K161" s="46"/>
    </row>
    <row r="162" spans="1:11" s="109" customFormat="1">
      <c r="A162" s="46"/>
      <c r="B162" s="46"/>
      <c r="C162" s="46"/>
      <c r="D162" s="46"/>
      <c r="E162" s="46"/>
      <c r="F162" s="46"/>
      <c r="G162" s="46"/>
      <c r="H162" s="46"/>
      <c r="K162" s="46"/>
    </row>
    <row r="163" spans="1:11" s="109" customFormat="1">
      <c r="A163" s="46"/>
      <c r="B163" s="46"/>
      <c r="C163" s="46"/>
      <c r="D163" s="46"/>
      <c r="E163" s="46"/>
      <c r="F163" s="46"/>
      <c r="G163" s="46"/>
      <c r="H163" s="46"/>
      <c r="K163" s="46"/>
    </row>
    <row r="164" spans="1:11" s="109" customFormat="1">
      <c r="A164" s="46"/>
      <c r="B164" s="46"/>
      <c r="C164" s="46"/>
      <c r="D164" s="46"/>
      <c r="E164" s="46"/>
      <c r="F164" s="46"/>
      <c r="G164" s="46"/>
      <c r="H164" s="46"/>
      <c r="K164" s="46"/>
    </row>
    <row r="165" spans="1:11" s="109" customFormat="1">
      <c r="A165" s="46"/>
      <c r="B165" s="46"/>
      <c r="C165" s="46"/>
      <c r="D165" s="46"/>
      <c r="E165" s="46"/>
      <c r="F165" s="46"/>
      <c r="G165" s="46"/>
      <c r="H165" s="46"/>
      <c r="K165" s="46"/>
    </row>
    <row r="166" spans="1:11" s="109" customFormat="1">
      <c r="A166" s="46"/>
      <c r="B166" s="46"/>
      <c r="C166" s="46"/>
      <c r="D166" s="46"/>
      <c r="E166" s="46"/>
      <c r="F166" s="46"/>
      <c r="G166" s="46"/>
      <c r="H166" s="46"/>
      <c r="K166" s="46"/>
    </row>
    <row r="167" spans="1:11" s="109" customFormat="1">
      <c r="A167" s="46"/>
      <c r="B167" s="46"/>
      <c r="C167" s="46"/>
      <c r="D167" s="46"/>
      <c r="E167" s="46"/>
      <c r="F167" s="46"/>
      <c r="G167" s="46"/>
      <c r="H167" s="46"/>
      <c r="K167" s="46"/>
    </row>
    <row r="168" spans="1:11" s="109" customFormat="1">
      <c r="A168" s="46"/>
      <c r="B168" s="46"/>
      <c r="C168" s="46"/>
      <c r="D168" s="46"/>
      <c r="E168" s="46"/>
      <c r="F168" s="46"/>
      <c r="G168" s="46"/>
      <c r="H168" s="46"/>
      <c r="K168" s="46"/>
    </row>
    <row r="169" spans="1:11" s="109" customFormat="1">
      <c r="A169" s="46"/>
      <c r="B169" s="46"/>
      <c r="C169" s="46"/>
      <c r="D169" s="46"/>
      <c r="E169" s="46"/>
      <c r="F169" s="46"/>
      <c r="G169" s="46"/>
      <c r="H169" s="46"/>
      <c r="K169" s="46"/>
    </row>
    <row r="170" spans="1:11" s="109" customFormat="1">
      <c r="A170" s="46"/>
      <c r="B170" s="46"/>
      <c r="C170" s="46"/>
      <c r="D170" s="46"/>
      <c r="E170" s="46"/>
      <c r="F170" s="46"/>
      <c r="G170" s="46"/>
      <c r="H170" s="46"/>
      <c r="K170" s="46"/>
    </row>
    <row r="171" spans="1:11" s="109" customFormat="1">
      <c r="A171" s="46"/>
      <c r="B171" s="46"/>
      <c r="C171" s="46"/>
      <c r="D171" s="46"/>
      <c r="E171" s="46"/>
      <c r="F171" s="46"/>
      <c r="G171" s="46"/>
      <c r="H171" s="46"/>
      <c r="K171" s="46"/>
    </row>
    <row r="172" spans="1:11" s="109" customFormat="1">
      <c r="A172" s="46"/>
      <c r="B172" s="46"/>
      <c r="C172" s="46"/>
      <c r="D172" s="46"/>
      <c r="E172" s="46"/>
      <c r="F172" s="46"/>
      <c r="G172" s="46"/>
      <c r="H172" s="46"/>
      <c r="K172" s="46"/>
    </row>
    <row r="173" spans="1:11" s="109" customFormat="1">
      <c r="A173" s="46"/>
      <c r="B173" s="46"/>
      <c r="C173" s="46"/>
      <c r="D173" s="46"/>
      <c r="E173" s="46"/>
      <c r="F173" s="46"/>
      <c r="G173" s="46"/>
      <c r="H173" s="46"/>
      <c r="K173" s="46"/>
    </row>
    <row r="174" spans="1:11" s="109" customFormat="1">
      <c r="A174" s="46"/>
      <c r="B174" s="46"/>
      <c r="C174" s="46"/>
      <c r="D174" s="46"/>
      <c r="E174" s="46"/>
      <c r="F174" s="46"/>
      <c r="G174" s="46"/>
      <c r="H174" s="46"/>
      <c r="K174" s="46"/>
    </row>
    <row r="175" spans="1:11" s="109" customFormat="1">
      <c r="A175" s="46"/>
      <c r="B175" s="46"/>
      <c r="C175" s="46"/>
      <c r="D175" s="46"/>
      <c r="E175" s="46"/>
      <c r="F175" s="46"/>
      <c r="G175" s="46"/>
      <c r="H175" s="46"/>
      <c r="K175" s="46"/>
    </row>
    <row r="176" spans="1:11" s="109" customFormat="1">
      <c r="A176" s="46"/>
      <c r="B176" s="46"/>
      <c r="C176" s="46"/>
      <c r="D176" s="46"/>
      <c r="E176" s="46"/>
      <c r="F176" s="46"/>
      <c r="G176" s="46"/>
      <c r="H176" s="46"/>
      <c r="K176" s="46"/>
    </row>
    <row r="177" spans="1:11" s="109" customFormat="1">
      <c r="A177" s="46"/>
      <c r="B177" s="46"/>
      <c r="C177" s="46"/>
      <c r="D177" s="46"/>
      <c r="E177" s="46"/>
      <c r="F177" s="46"/>
      <c r="G177" s="46"/>
      <c r="H177" s="46"/>
      <c r="K177" s="46"/>
    </row>
    <row r="178" spans="1:11" s="109" customFormat="1">
      <c r="A178" s="46"/>
      <c r="B178" s="46"/>
      <c r="C178" s="46"/>
      <c r="D178" s="46"/>
      <c r="E178" s="46"/>
      <c r="F178" s="46"/>
      <c r="G178" s="46"/>
      <c r="H178" s="46"/>
      <c r="K178" s="46"/>
    </row>
    <row r="179" spans="1:11" s="109" customFormat="1">
      <c r="A179" s="46"/>
      <c r="B179" s="46"/>
      <c r="C179" s="46"/>
      <c r="D179" s="46"/>
      <c r="E179" s="46"/>
      <c r="F179" s="46"/>
      <c r="G179" s="46"/>
      <c r="H179" s="46"/>
      <c r="K179" s="46"/>
    </row>
    <row r="180" spans="1:11" s="109" customFormat="1">
      <c r="A180" s="46"/>
      <c r="B180" s="46"/>
      <c r="C180" s="46"/>
      <c r="D180" s="46"/>
      <c r="E180" s="46"/>
      <c r="F180" s="46"/>
      <c r="G180" s="46"/>
      <c r="H180" s="46"/>
      <c r="K180" s="46"/>
    </row>
    <row r="181" spans="1:11" s="109" customFormat="1">
      <c r="A181" s="46"/>
      <c r="B181" s="46"/>
      <c r="C181" s="46"/>
      <c r="D181" s="46"/>
      <c r="E181" s="46"/>
      <c r="F181" s="46"/>
      <c r="G181" s="46"/>
      <c r="H181" s="46"/>
      <c r="K181" s="46"/>
    </row>
    <row r="182" spans="1:11" s="109" customFormat="1">
      <c r="A182" s="46"/>
      <c r="B182" s="46"/>
      <c r="C182" s="46"/>
      <c r="D182" s="46"/>
      <c r="E182" s="46"/>
      <c r="F182" s="46"/>
      <c r="G182" s="46"/>
      <c r="H182" s="46"/>
      <c r="K182" s="46"/>
    </row>
    <row r="183" spans="1:11" s="109" customFormat="1">
      <c r="A183" s="46"/>
      <c r="B183" s="46"/>
      <c r="C183" s="46"/>
      <c r="D183" s="46"/>
      <c r="E183" s="46"/>
      <c r="F183" s="46"/>
      <c r="G183" s="46"/>
      <c r="H183" s="46"/>
      <c r="K183" s="46"/>
    </row>
    <row r="184" spans="1:11" s="109" customFormat="1">
      <c r="A184" s="46"/>
      <c r="B184" s="46"/>
      <c r="C184" s="46"/>
      <c r="D184" s="46"/>
      <c r="E184" s="46"/>
      <c r="F184" s="46"/>
      <c r="G184" s="46"/>
      <c r="H184" s="46"/>
      <c r="K184" s="46"/>
    </row>
    <row r="185" spans="1:11" s="109" customFormat="1">
      <c r="A185" s="46"/>
      <c r="B185" s="46"/>
      <c r="C185" s="46"/>
      <c r="D185" s="46"/>
      <c r="E185" s="46"/>
      <c r="F185" s="46"/>
      <c r="G185" s="46"/>
      <c r="H185" s="46"/>
      <c r="K185" s="46"/>
    </row>
    <row r="186" spans="1:11" s="109" customFormat="1">
      <c r="A186" s="46"/>
      <c r="B186" s="46"/>
      <c r="C186" s="46"/>
      <c r="D186" s="46"/>
      <c r="E186" s="46"/>
      <c r="F186" s="46"/>
      <c r="G186" s="46"/>
      <c r="H186" s="46"/>
      <c r="K186" s="46"/>
    </row>
    <row r="187" spans="1:11" s="109" customFormat="1">
      <c r="A187" s="46"/>
      <c r="B187" s="46"/>
      <c r="C187" s="46"/>
      <c r="D187" s="46"/>
      <c r="E187" s="46"/>
      <c r="F187" s="46"/>
      <c r="G187" s="46"/>
      <c r="H187" s="46"/>
      <c r="K187" s="46"/>
    </row>
    <row r="188" spans="1:11" s="109" customFormat="1">
      <c r="A188" s="46"/>
      <c r="B188" s="46"/>
      <c r="C188" s="46"/>
      <c r="D188" s="46"/>
      <c r="E188" s="46"/>
      <c r="F188" s="46"/>
      <c r="G188" s="46"/>
      <c r="H188" s="46"/>
      <c r="K188" s="46"/>
    </row>
    <row r="189" spans="1:11" s="109" customFormat="1">
      <c r="A189" s="46"/>
      <c r="B189" s="46"/>
      <c r="C189" s="46"/>
      <c r="D189" s="46"/>
      <c r="E189" s="46"/>
      <c r="F189" s="46"/>
      <c r="G189" s="46"/>
      <c r="H189" s="46"/>
      <c r="K189" s="46"/>
    </row>
    <row r="190" spans="1:11" s="109" customFormat="1">
      <c r="A190" s="46"/>
      <c r="B190" s="46"/>
      <c r="C190" s="46"/>
      <c r="D190" s="46"/>
      <c r="E190" s="46"/>
      <c r="F190" s="46"/>
      <c r="G190" s="46"/>
      <c r="H190" s="46"/>
      <c r="K190" s="46"/>
    </row>
    <row r="191" spans="1:11" s="109" customFormat="1">
      <c r="A191" s="46"/>
      <c r="B191" s="46"/>
      <c r="C191" s="46"/>
      <c r="D191" s="46"/>
      <c r="E191" s="46"/>
      <c r="F191" s="46"/>
      <c r="G191" s="46"/>
      <c r="H191" s="46"/>
      <c r="K191" s="46"/>
    </row>
    <row r="192" spans="1:11" s="109" customFormat="1">
      <c r="A192" s="46"/>
      <c r="B192" s="46"/>
      <c r="C192" s="46"/>
      <c r="D192" s="46"/>
      <c r="E192" s="46"/>
      <c r="F192" s="46"/>
      <c r="G192" s="46"/>
      <c r="H192" s="46"/>
      <c r="K192" s="46"/>
    </row>
    <row r="193" spans="1:11" s="109" customFormat="1">
      <c r="A193" s="46"/>
      <c r="B193" s="46"/>
      <c r="C193" s="46"/>
      <c r="D193" s="46"/>
      <c r="E193" s="46"/>
      <c r="F193" s="46"/>
      <c r="G193" s="46"/>
      <c r="H193" s="46"/>
      <c r="K193" s="46"/>
    </row>
    <row r="194" spans="1:11" s="109" customFormat="1">
      <c r="A194" s="46"/>
      <c r="B194" s="46"/>
      <c r="C194" s="46"/>
      <c r="D194" s="46"/>
      <c r="E194" s="46"/>
      <c r="F194" s="46"/>
      <c r="G194" s="46"/>
      <c r="H194" s="46"/>
      <c r="K194" s="46"/>
    </row>
    <row r="195" spans="1:11" s="109" customFormat="1">
      <c r="A195" s="46"/>
      <c r="B195" s="46"/>
      <c r="C195" s="46"/>
      <c r="D195" s="46"/>
      <c r="E195" s="46"/>
      <c r="F195" s="46"/>
      <c r="G195" s="46"/>
      <c r="H195" s="46"/>
      <c r="K195" s="46"/>
    </row>
    <row r="196" spans="1:11" s="109" customFormat="1">
      <c r="A196" s="46"/>
      <c r="B196" s="46"/>
      <c r="C196" s="46"/>
      <c r="D196" s="46"/>
      <c r="E196" s="46"/>
      <c r="F196" s="46"/>
      <c r="G196" s="46"/>
      <c r="H196" s="46"/>
      <c r="K196" s="46"/>
    </row>
    <row r="197" spans="1:11" s="109" customFormat="1">
      <c r="A197" s="46"/>
      <c r="B197" s="46"/>
      <c r="C197" s="46"/>
      <c r="D197" s="46"/>
      <c r="E197" s="46"/>
      <c r="F197" s="46"/>
      <c r="G197" s="46"/>
      <c r="H197" s="46"/>
      <c r="K197" s="46"/>
    </row>
    <row r="198" spans="1:11" s="109" customFormat="1">
      <c r="A198" s="46"/>
      <c r="B198" s="46"/>
      <c r="C198" s="46"/>
      <c r="D198" s="46"/>
      <c r="E198" s="46"/>
      <c r="F198" s="46"/>
      <c r="G198" s="46"/>
      <c r="H198" s="46"/>
      <c r="K198" s="46"/>
    </row>
    <row r="199" spans="1:11" s="109" customFormat="1">
      <c r="A199" s="46"/>
      <c r="B199" s="46"/>
      <c r="C199" s="46"/>
      <c r="D199" s="46"/>
      <c r="E199" s="46"/>
      <c r="F199" s="46"/>
      <c r="G199" s="46"/>
      <c r="H199" s="46"/>
      <c r="K199" s="46"/>
    </row>
    <row r="200" spans="1:11" s="109" customFormat="1">
      <c r="A200" s="46"/>
      <c r="B200" s="46"/>
      <c r="C200" s="46"/>
      <c r="D200" s="46"/>
      <c r="E200" s="46"/>
      <c r="F200" s="46"/>
      <c r="G200" s="46"/>
      <c r="H200" s="46"/>
      <c r="K200" s="46"/>
    </row>
    <row r="201" spans="1:11" s="109" customFormat="1">
      <c r="A201" s="46"/>
      <c r="B201" s="46"/>
      <c r="C201" s="46"/>
      <c r="D201" s="46"/>
      <c r="E201" s="46"/>
      <c r="F201" s="46"/>
      <c r="G201" s="46"/>
      <c r="H201" s="46"/>
      <c r="K201" s="46"/>
    </row>
    <row r="202" spans="1:11" s="109" customFormat="1">
      <c r="A202" s="46"/>
      <c r="B202" s="46"/>
      <c r="C202" s="46"/>
      <c r="D202" s="46"/>
      <c r="E202" s="46"/>
      <c r="F202" s="46"/>
      <c r="G202" s="46"/>
      <c r="H202" s="46"/>
      <c r="K202" s="46"/>
    </row>
    <row r="203" spans="1:11" s="109" customFormat="1">
      <c r="A203" s="46"/>
      <c r="B203" s="46"/>
      <c r="C203" s="46"/>
      <c r="D203" s="46"/>
      <c r="E203" s="46"/>
      <c r="F203" s="46"/>
      <c r="G203" s="46"/>
      <c r="H203" s="46"/>
      <c r="K203" s="46"/>
    </row>
    <row r="204" spans="1:11" s="109" customFormat="1">
      <c r="A204" s="46"/>
      <c r="B204" s="46"/>
      <c r="C204" s="46"/>
      <c r="D204" s="46"/>
      <c r="E204" s="46"/>
      <c r="F204" s="46"/>
      <c r="G204" s="46"/>
      <c r="H204" s="46"/>
      <c r="K204" s="46"/>
    </row>
    <row r="205" spans="1:11" s="109" customFormat="1">
      <c r="A205" s="46"/>
      <c r="B205" s="46"/>
      <c r="C205" s="46"/>
      <c r="D205" s="46"/>
      <c r="E205" s="46"/>
      <c r="F205" s="46"/>
      <c r="G205" s="46"/>
      <c r="H205" s="46"/>
      <c r="K205" s="46"/>
    </row>
    <row r="206" spans="1:11" s="109" customFormat="1">
      <c r="A206" s="46"/>
      <c r="B206" s="46"/>
      <c r="C206" s="46"/>
      <c r="D206" s="46"/>
      <c r="E206" s="46"/>
      <c r="F206" s="46"/>
      <c r="G206" s="46"/>
      <c r="H206" s="46"/>
      <c r="K206" s="46"/>
    </row>
    <row r="207" spans="1:11" s="109" customFormat="1">
      <c r="A207" s="46"/>
      <c r="B207" s="46"/>
      <c r="C207" s="46"/>
      <c r="D207" s="46"/>
      <c r="E207" s="46"/>
      <c r="F207" s="46"/>
      <c r="G207" s="46"/>
      <c r="H207" s="46"/>
      <c r="K207" s="46"/>
    </row>
    <row r="208" spans="1:11" s="109" customFormat="1">
      <c r="A208" s="46"/>
      <c r="B208" s="46"/>
      <c r="C208" s="46"/>
      <c r="D208" s="46"/>
      <c r="E208" s="46"/>
      <c r="F208" s="46"/>
      <c r="G208" s="46"/>
      <c r="H208" s="46"/>
      <c r="K208" s="46"/>
    </row>
    <row r="209" spans="1:11" s="109" customFormat="1">
      <c r="A209" s="46"/>
      <c r="B209" s="46"/>
      <c r="C209" s="46"/>
      <c r="D209" s="46"/>
      <c r="E209" s="46"/>
      <c r="F209" s="46"/>
      <c r="G209" s="46"/>
      <c r="H209" s="46"/>
      <c r="K209" s="46"/>
    </row>
    <row r="210" spans="1:11" s="109" customFormat="1">
      <c r="A210" s="46"/>
      <c r="B210" s="46"/>
      <c r="C210" s="46"/>
      <c r="D210" s="46"/>
      <c r="E210" s="46"/>
      <c r="F210" s="46"/>
      <c r="G210" s="46"/>
      <c r="H210" s="46"/>
      <c r="K210" s="46"/>
    </row>
    <row r="211" spans="1:11" s="109" customFormat="1">
      <c r="A211" s="46"/>
      <c r="B211" s="46"/>
      <c r="C211" s="46"/>
      <c r="D211" s="46"/>
      <c r="E211" s="46"/>
      <c r="F211" s="46"/>
      <c r="G211" s="46"/>
      <c r="H211" s="46"/>
      <c r="K211" s="46"/>
    </row>
    <row r="212" spans="1:11" s="109" customFormat="1">
      <c r="A212" s="46"/>
      <c r="B212" s="46"/>
      <c r="C212" s="46"/>
      <c r="D212" s="46"/>
      <c r="E212" s="46"/>
      <c r="F212" s="46"/>
      <c r="G212" s="46"/>
      <c r="H212" s="46"/>
      <c r="K212" s="46"/>
    </row>
    <row r="213" spans="1:11" s="109" customFormat="1">
      <c r="A213" s="46"/>
      <c r="B213" s="46"/>
      <c r="C213" s="46"/>
      <c r="D213" s="46"/>
      <c r="E213" s="46"/>
      <c r="F213" s="46"/>
      <c r="G213" s="46"/>
      <c r="H213" s="46"/>
      <c r="K213" s="46"/>
    </row>
    <row r="214" spans="1:11" s="109" customFormat="1">
      <c r="A214" s="46"/>
      <c r="B214" s="46"/>
      <c r="C214" s="46"/>
      <c r="D214" s="46"/>
      <c r="E214" s="46"/>
      <c r="F214" s="46"/>
      <c r="G214" s="46"/>
      <c r="H214" s="46"/>
      <c r="K214" s="46"/>
    </row>
    <row r="215" spans="1:11" s="109" customFormat="1">
      <c r="A215" s="46"/>
      <c r="B215" s="46"/>
      <c r="C215" s="46"/>
      <c r="D215" s="46"/>
      <c r="E215" s="46"/>
      <c r="F215" s="46"/>
      <c r="G215" s="46"/>
      <c r="H215" s="46"/>
      <c r="K215" s="46"/>
    </row>
    <row r="216" spans="1:11" s="109" customFormat="1">
      <c r="A216" s="46"/>
      <c r="B216" s="46"/>
      <c r="C216" s="46"/>
      <c r="D216" s="46"/>
      <c r="E216" s="46"/>
      <c r="F216" s="46"/>
      <c r="G216" s="46"/>
      <c r="H216" s="46"/>
      <c r="K216" s="46"/>
    </row>
    <row r="217" spans="1:11" s="109" customFormat="1">
      <c r="A217" s="46"/>
      <c r="B217" s="46"/>
      <c r="C217" s="46"/>
      <c r="D217" s="46"/>
      <c r="E217" s="46"/>
      <c r="F217" s="46"/>
      <c r="G217" s="46"/>
      <c r="H217" s="46"/>
      <c r="K217" s="46"/>
    </row>
    <row r="218" spans="1:11" s="109" customFormat="1">
      <c r="A218" s="46"/>
      <c r="B218" s="46"/>
      <c r="C218" s="46"/>
      <c r="D218" s="46"/>
      <c r="E218" s="46"/>
      <c r="F218" s="46"/>
      <c r="G218" s="46"/>
      <c r="H218" s="46"/>
      <c r="K218" s="46"/>
    </row>
    <row r="219" spans="1:11" s="109" customFormat="1">
      <c r="A219" s="46"/>
      <c r="B219" s="46"/>
      <c r="C219" s="46"/>
      <c r="D219" s="46"/>
      <c r="E219" s="46"/>
      <c r="F219" s="46"/>
      <c r="G219" s="46"/>
      <c r="H219" s="46"/>
      <c r="K219" s="46"/>
    </row>
    <row r="220" spans="1:11" s="109" customFormat="1">
      <c r="A220" s="46"/>
      <c r="B220" s="46"/>
      <c r="C220" s="46"/>
      <c r="D220" s="46"/>
      <c r="E220" s="46"/>
      <c r="F220" s="46"/>
      <c r="G220" s="46"/>
      <c r="H220" s="46"/>
      <c r="K220" s="46"/>
    </row>
    <row r="221" spans="1:11" s="109" customFormat="1">
      <c r="A221" s="46"/>
      <c r="B221" s="46"/>
      <c r="C221" s="46"/>
      <c r="D221" s="46"/>
      <c r="E221" s="46"/>
      <c r="F221" s="46"/>
      <c r="G221" s="46"/>
      <c r="H221" s="46"/>
      <c r="K221" s="46"/>
    </row>
    <row r="222" spans="1:11" s="109" customFormat="1">
      <c r="A222" s="46"/>
      <c r="B222" s="46"/>
      <c r="C222" s="46"/>
      <c r="D222" s="46"/>
      <c r="E222" s="46"/>
      <c r="F222" s="46"/>
      <c r="G222" s="46"/>
      <c r="H222" s="46"/>
      <c r="K222" s="46"/>
    </row>
    <row r="223" spans="1:11" s="109" customFormat="1">
      <c r="A223" s="46"/>
      <c r="B223" s="46"/>
      <c r="C223" s="46"/>
      <c r="D223" s="46"/>
      <c r="E223" s="46"/>
      <c r="F223" s="46"/>
      <c r="G223" s="46"/>
      <c r="H223" s="46"/>
      <c r="K223" s="46"/>
    </row>
    <row r="224" spans="1:11" s="109" customFormat="1">
      <c r="A224" s="46"/>
      <c r="B224" s="46"/>
      <c r="C224" s="46"/>
      <c r="D224" s="46"/>
      <c r="E224" s="46"/>
      <c r="F224" s="46"/>
      <c r="G224" s="46"/>
      <c r="H224" s="46"/>
      <c r="K224" s="46"/>
    </row>
    <row r="225" spans="1:11" s="109" customFormat="1">
      <c r="A225" s="46"/>
      <c r="B225" s="46"/>
      <c r="C225" s="46"/>
      <c r="D225" s="46"/>
      <c r="E225" s="46"/>
      <c r="F225" s="46"/>
      <c r="G225" s="46"/>
      <c r="H225" s="46"/>
      <c r="K225" s="46"/>
    </row>
    <row r="226" spans="1:11" s="109" customFormat="1">
      <c r="A226" s="46"/>
      <c r="B226" s="46"/>
      <c r="C226" s="46"/>
      <c r="D226" s="46"/>
      <c r="E226" s="46"/>
      <c r="F226" s="46"/>
      <c r="G226" s="46"/>
      <c r="H226" s="46"/>
      <c r="K226" s="46"/>
    </row>
    <row r="227" spans="1:11" s="109" customFormat="1">
      <c r="A227" s="46"/>
      <c r="B227" s="46"/>
      <c r="C227" s="46"/>
      <c r="D227" s="46"/>
      <c r="E227" s="46"/>
      <c r="F227" s="46"/>
      <c r="G227" s="46"/>
      <c r="H227" s="46"/>
      <c r="K227" s="46"/>
    </row>
    <row r="228" spans="1:11" s="109" customFormat="1">
      <c r="A228" s="46"/>
      <c r="B228" s="46"/>
      <c r="C228" s="46"/>
      <c r="D228" s="46"/>
      <c r="E228" s="46"/>
      <c r="F228" s="46"/>
      <c r="G228" s="46"/>
      <c r="H228" s="46"/>
      <c r="K228" s="46"/>
    </row>
    <row r="229" spans="1:11" s="109" customFormat="1">
      <c r="A229" s="46"/>
      <c r="B229" s="46"/>
      <c r="C229" s="46"/>
      <c r="D229" s="46"/>
      <c r="E229" s="46"/>
      <c r="F229" s="46"/>
      <c r="G229" s="46"/>
      <c r="H229" s="46"/>
      <c r="K229" s="46"/>
    </row>
    <row r="230" spans="1:11" s="109" customFormat="1">
      <c r="A230" s="46"/>
      <c r="B230" s="46"/>
      <c r="C230" s="46"/>
      <c r="D230" s="46"/>
      <c r="E230" s="46"/>
      <c r="F230" s="46"/>
      <c r="G230" s="46"/>
      <c r="H230" s="46"/>
      <c r="K230" s="46"/>
    </row>
    <row r="231" spans="1:11" s="109" customFormat="1">
      <c r="A231" s="46"/>
      <c r="B231" s="46"/>
      <c r="C231" s="46"/>
      <c r="D231" s="46"/>
      <c r="E231" s="46"/>
      <c r="F231" s="46"/>
      <c r="G231" s="46"/>
      <c r="H231" s="46"/>
      <c r="K231" s="46"/>
    </row>
  </sheetData>
  <mergeCells count="3">
    <mergeCell ref="A2:J2"/>
    <mergeCell ref="A3:J3"/>
    <mergeCell ref="A4:J4"/>
  </mergeCells>
  <pageMargins left="0.27" right="0.15" top="0.39" bottom="0.1" header="0.21" footer="0.1"/>
  <pageSetup scale="90" orientation="portrait" horizontalDpi="300" verticalDpi="300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FF00"/>
  </sheetPr>
  <dimension ref="A1:O74"/>
  <sheetViews>
    <sheetView topLeftCell="A16" workbookViewId="0">
      <selection activeCell="H27" sqref="H27"/>
    </sheetView>
  </sheetViews>
  <sheetFormatPr defaultRowHeight="12.75"/>
  <cols>
    <col min="1" max="9" width="12.7109375" style="46" customWidth="1"/>
    <col min="10" max="10" width="13.140625" style="46" customWidth="1"/>
    <col min="11" max="11" width="12" style="46" bestFit="1" customWidth="1"/>
    <col min="12" max="12" width="12.28515625" style="109" customWidth="1"/>
    <col min="13" max="13" width="13.7109375" style="109" customWidth="1"/>
    <col min="14" max="14" width="12.7109375" style="109" customWidth="1"/>
    <col min="15" max="15" width="14.28515625" style="109" customWidth="1"/>
    <col min="16" max="16384" width="9.140625" style="46"/>
  </cols>
  <sheetData>
    <row r="1" spans="1:15">
      <c r="A1" s="410" t="s">
        <v>174</v>
      </c>
      <c r="B1" s="410"/>
      <c r="C1" s="410"/>
      <c r="D1" s="410"/>
      <c r="E1" s="410"/>
      <c r="F1" s="410"/>
      <c r="G1" s="410"/>
      <c r="H1" s="410"/>
      <c r="I1" s="410"/>
    </row>
    <row r="2" spans="1:15">
      <c r="A2" s="410" t="s">
        <v>175</v>
      </c>
      <c r="B2" s="410"/>
      <c r="C2" s="410"/>
      <c r="D2" s="410"/>
      <c r="E2" s="410"/>
      <c r="F2" s="410"/>
      <c r="G2" s="410"/>
      <c r="H2" s="410"/>
      <c r="I2" s="410"/>
    </row>
    <row r="3" spans="1:15">
      <c r="A3" s="410" t="s">
        <v>176</v>
      </c>
      <c r="B3" s="410"/>
      <c r="C3" s="410"/>
      <c r="D3" s="410"/>
      <c r="E3" s="410"/>
      <c r="F3" s="410"/>
      <c r="G3" s="410"/>
      <c r="H3" s="410"/>
      <c r="I3" s="410"/>
    </row>
    <row r="4" spans="1:15">
      <c r="A4" s="410" t="s">
        <v>177</v>
      </c>
      <c r="B4" s="410"/>
      <c r="C4" s="410"/>
      <c r="D4" s="410"/>
      <c r="E4" s="410"/>
      <c r="F4" s="410"/>
      <c r="G4" s="410"/>
      <c r="H4" s="410"/>
      <c r="I4" s="410"/>
    </row>
    <row r="5" spans="1:15">
      <c r="A5" s="410"/>
      <c r="B5" s="410"/>
      <c r="C5" s="410"/>
      <c r="D5" s="410"/>
      <c r="E5" s="410"/>
      <c r="F5" s="410"/>
      <c r="G5" s="410"/>
      <c r="H5" s="410"/>
      <c r="I5" s="410"/>
    </row>
    <row r="7" spans="1:15">
      <c r="A7" s="47"/>
      <c r="B7" s="411" t="s">
        <v>179</v>
      </c>
      <c r="C7" s="413"/>
      <c r="D7" s="413"/>
      <c r="E7" s="412"/>
      <c r="F7" s="411" t="s">
        <v>181</v>
      </c>
      <c r="G7" s="413"/>
      <c r="H7" s="413"/>
      <c r="I7" s="412"/>
    </row>
    <row r="8" spans="1:15">
      <c r="A8" s="54"/>
      <c r="B8" s="411" t="s">
        <v>178</v>
      </c>
      <c r="C8" s="412"/>
      <c r="D8" s="411" t="s">
        <v>180</v>
      </c>
      <c r="E8" s="412"/>
      <c r="F8" s="60"/>
      <c r="G8" s="58"/>
      <c r="H8" s="60"/>
      <c r="I8" s="60"/>
      <c r="L8" s="108" t="s">
        <v>188</v>
      </c>
      <c r="M8" s="108" t="s">
        <v>189</v>
      </c>
      <c r="N8" s="108" t="s">
        <v>188</v>
      </c>
      <c r="O8" s="108" t="s">
        <v>189</v>
      </c>
    </row>
    <row r="9" spans="1:15">
      <c r="A9" s="189" t="s">
        <v>185</v>
      </c>
      <c r="B9" s="189" t="s">
        <v>9</v>
      </c>
      <c r="C9" s="60"/>
      <c r="D9" s="189" t="s">
        <v>9</v>
      </c>
      <c r="E9" s="60"/>
      <c r="F9" s="60" t="s">
        <v>182</v>
      </c>
      <c r="G9" s="58"/>
      <c r="H9" s="60"/>
      <c r="I9" s="60"/>
      <c r="K9" s="191" t="s">
        <v>187</v>
      </c>
      <c r="L9" s="387" t="s">
        <v>90</v>
      </c>
      <c r="M9" s="387"/>
      <c r="N9" s="387" t="s">
        <v>191</v>
      </c>
      <c r="O9" s="387"/>
    </row>
    <row r="10" spans="1:15">
      <c r="A10" s="61"/>
      <c r="B10" s="189" t="s">
        <v>10</v>
      </c>
      <c r="C10" s="60" t="s">
        <v>12</v>
      </c>
      <c r="D10" s="189" t="s">
        <v>10</v>
      </c>
      <c r="E10" s="60" t="s">
        <v>12</v>
      </c>
      <c r="F10" s="60" t="s">
        <v>41</v>
      </c>
      <c r="G10" s="60" t="s">
        <v>183</v>
      </c>
      <c r="H10" s="60" t="s">
        <v>184</v>
      </c>
      <c r="I10" s="60" t="s">
        <v>41</v>
      </c>
      <c r="K10" s="197">
        <v>815</v>
      </c>
      <c r="L10" s="109">
        <f>630293.32-630000</f>
        <v>293.31999999994878</v>
      </c>
    </row>
    <row r="11" spans="1:15">
      <c r="A11" s="54"/>
      <c r="B11" s="189" t="s">
        <v>11</v>
      </c>
      <c r="C11" s="60" t="s">
        <v>13</v>
      </c>
      <c r="D11" s="189" t="s">
        <v>11</v>
      </c>
      <c r="E11" s="60" t="s">
        <v>13</v>
      </c>
      <c r="F11" s="196" t="s">
        <v>167</v>
      </c>
      <c r="G11" s="58"/>
      <c r="H11" s="60"/>
      <c r="I11" s="60"/>
      <c r="K11" s="197">
        <v>851</v>
      </c>
      <c r="L11" s="109">
        <f>1200000-1000000</f>
        <v>200000</v>
      </c>
    </row>
    <row r="12" spans="1:15">
      <c r="A12" s="62"/>
      <c r="B12" s="65">
        <v>0.3</v>
      </c>
      <c r="C12" s="66">
        <v>0.7</v>
      </c>
      <c r="D12" s="65">
        <v>0.3</v>
      </c>
      <c r="E12" s="66">
        <v>0.7</v>
      </c>
      <c r="F12" s="68"/>
      <c r="G12" s="69"/>
      <c r="H12" s="68"/>
      <c r="I12" s="68"/>
      <c r="K12" s="197">
        <v>860</v>
      </c>
      <c r="L12" s="109">
        <f>1400000-1300000</f>
        <v>100000</v>
      </c>
    </row>
    <row r="13" spans="1:15">
      <c r="A13" s="190"/>
      <c r="B13" s="51"/>
      <c r="C13" s="51"/>
      <c r="D13" s="51"/>
      <c r="E13" s="51"/>
      <c r="F13" s="51"/>
      <c r="G13" s="55"/>
      <c r="H13" s="51"/>
      <c r="I13" s="51"/>
      <c r="K13" s="197">
        <v>878</v>
      </c>
      <c r="L13" s="109">
        <f>6000000-2000000</f>
        <v>4000000</v>
      </c>
    </row>
    <row r="14" spans="1:15">
      <c r="A14" s="190" t="s">
        <v>186</v>
      </c>
      <c r="B14" s="94"/>
      <c r="C14" s="94"/>
      <c r="D14" s="94"/>
      <c r="E14" s="94"/>
      <c r="F14" s="94"/>
      <c r="G14" s="89"/>
      <c r="H14" s="94"/>
      <c r="I14" s="94"/>
      <c r="L14" s="116">
        <f>SUM(L10:L13)</f>
        <v>4300293.32</v>
      </c>
    </row>
    <row r="15" spans="1:15">
      <c r="A15" s="202" t="s">
        <v>87</v>
      </c>
      <c r="B15" s="94">
        <v>4300293.32</v>
      </c>
      <c r="C15" s="94">
        <v>5137069.12</v>
      </c>
      <c r="D15" s="94">
        <v>1996412.1</v>
      </c>
      <c r="E15" s="94">
        <v>3378113.97</v>
      </c>
      <c r="F15" s="94">
        <v>8736531.7100000009</v>
      </c>
      <c r="G15" s="89"/>
      <c r="H15" s="94"/>
      <c r="I15" s="94">
        <f>SUM(F15)</f>
        <v>8736531.7100000009</v>
      </c>
      <c r="J15" s="117" t="s">
        <v>87</v>
      </c>
      <c r="K15" s="197">
        <v>753</v>
      </c>
      <c r="M15" s="109">
        <f>1000000-400000</f>
        <v>600000</v>
      </c>
    </row>
    <row r="16" spans="1:15">
      <c r="A16" s="202"/>
      <c r="B16" s="94"/>
      <c r="C16" s="94"/>
      <c r="D16" s="94"/>
      <c r="E16" s="94"/>
      <c r="F16" s="94"/>
      <c r="G16" s="89"/>
      <c r="H16" s="94"/>
      <c r="I16" s="94"/>
      <c r="K16" s="197">
        <v>759</v>
      </c>
      <c r="M16" s="109">
        <f>1200000-1000000</f>
        <v>200000</v>
      </c>
    </row>
    <row r="17" spans="1:13">
      <c r="A17" s="202" t="s">
        <v>88</v>
      </c>
      <c r="B17" s="94"/>
      <c r="C17" s="101">
        <v>9400000</v>
      </c>
      <c r="D17" s="94"/>
      <c r="E17" s="94">
        <v>7111765</v>
      </c>
      <c r="F17" s="94"/>
      <c r="G17" s="89"/>
      <c r="H17" s="94"/>
      <c r="I17" s="94"/>
      <c r="K17" s="197">
        <v>765</v>
      </c>
      <c r="M17" s="109">
        <f>3500000-860000</f>
        <v>2640000</v>
      </c>
    </row>
    <row r="18" spans="1:13">
      <c r="A18" s="199"/>
      <c r="B18" s="94"/>
      <c r="C18" s="94"/>
      <c r="D18" s="94"/>
      <c r="E18" s="94"/>
      <c r="F18" s="101"/>
      <c r="G18" s="92"/>
      <c r="H18" s="101"/>
      <c r="I18" s="94"/>
      <c r="K18" s="197">
        <v>893</v>
      </c>
      <c r="M18" s="109">
        <v>0</v>
      </c>
    </row>
    <row r="19" spans="1:13">
      <c r="A19" s="199" t="s">
        <v>193</v>
      </c>
      <c r="B19" s="94">
        <v>9670281.9600000009</v>
      </c>
      <c r="C19" s="94">
        <v>2260000</v>
      </c>
      <c r="D19" s="94"/>
      <c r="E19" s="94"/>
      <c r="F19" s="94"/>
      <c r="G19" s="89"/>
      <c r="H19" s="94"/>
      <c r="I19" s="94"/>
      <c r="K19" s="197">
        <v>969</v>
      </c>
      <c r="M19" s="109">
        <f>6287351.08-4590281.96</f>
        <v>1697069.12</v>
      </c>
    </row>
    <row r="20" spans="1:13">
      <c r="A20" s="77"/>
      <c r="B20" s="94"/>
      <c r="C20" s="94"/>
      <c r="D20" s="94"/>
      <c r="E20" s="94"/>
      <c r="F20" s="94"/>
      <c r="G20" s="90"/>
      <c r="H20" s="94"/>
      <c r="I20" s="101"/>
      <c r="K20" s="197"/>
      <c r="M20" s="116">
        <f>SUM(M15:M19)</f>
        <v>5137069.12</v>
      </c>
    </row>
    <row r="21" spans="1:13">
      <c r="A21" s="199" t="s">
        <v>192</v>
      </c>
      <c r="B21" s="94"/>
      <c r="C21" s="94">
        <v>1897753.11</v>
      </c>
      <c r="D21" s="94"/>
      <c r="E21" s="94"/>
      <c r="F21" s="101"/>
      <c r="G21" s="92"/>
      <c r="H21" s="101"/>
      <c r="I21" s="94"/>
      <c r="K21" s="197"/>
      <c r="M21" s="115"/>
    </row>
    <row r="22" spans="1:13">
      <c r="A22" s="199"/>
      <c r="B22" s="94"/>
      <c r="C22" s="94"/>
      <c r="D22" s="103"/>
      <c r="E22" s="103"/>
      <c r="F22" s="94"/>
      <c r="G22" s="89"/>
      <c r="H22" s="94"/>
      <c r="I22" s="94"/>
      <c r="J22" s="117" t="s">
        <v>88</v>
      </c>
      <c r="M22" s="109">
        <v>1400000</v>
      </c>
    </row>
    <row r="23" spans="1:13">
      <c r="A23" s="70"/>
      <c r="B23" s="102"/>
      <c r="C23" s="102"/>
      <c r="D23" s="102"/>
      <c r="E23" s="102"/>
      <c r="F23" s="94"/>
      <c r="G23" s="92"/>
      <c r="H23" s="101"/>
      <c r="I23" s="101"/>
      <c r="M23" s="109">
        <v>250000</v>
      </c>
    </row>
    <row r="24" spans="1:13">
      <c r="A24" s="78"/>
      <c r="B24" s="94"/>
      <c r="C24" s="94"/>
      <c r="D24" s="94"/>
      <c r="E24" s="94"/>
      <c r="F24" s="94"/>
      <c r="G24" s="89"/>
      <c r="H24" s="94"/>
      <c r="I24" s="94"/>
      <c r="M24" s="109">
        <v>200000</v>
      </c>
    </row>
    <row r="25" spans="1:13">
      <c r="A25" s="78"/>
      <c r="B25" s="94"/>
      <c r="C25" s="94"/>
      <c r="D25" s="94"/>
      <c r="E25" s="94"/>
      <c r="F25" s="94"/>
      <c r="G25" s="89"/>
      <c r="H25" s="94"/>
      <c r="I25" s="94"/>
      <c r="M25" s="109">
        <v>250000</v>
      </c>
    </row>
    <row r="26" spans="1:13">
      <c r="A26" s="78"/>
      <c r="B26" s="94"/>
      <c r="C26" s="94"/>
      <c r="D26" s="94"/>
      <c r="E26" s="94"/>
      <c r="F26" s="94"/>
      <c r="G26" s="89"/>
      <c r="H26" s="94"/>
      <c r="I26" s="94"/>
      <c r="M26" s="109">
        <v>1600000</v>
      </c>
    </row>
    <row r="27" spans="1:13">
      <c r="A27" s="78"/>
      <c r="B27" s="94"/>
      <c r="C27" s="94"/>
      <c r="D27" s="94"/>
      <c r="E27" s="94"/>
      <c r="F27" s="94"/>
      <c r="G27" s="89"/>
      <c r="H27" s="94"/>
      <c r="I27" s="94"/>
      <c r="M27" s="109">
        <v>5700000</v>
      </c>
    </row>
    <row r="28" spans="1:13">
      <c r="A28" s="78"/>
      <c r="B28" s="94"/>
      <c r="C28" s="94"/>
      <c r="D28" s="94"/>
      <c r="E28" s="94"/>
      <c r="F28" s="94"/>
      <c r="G28" s="89"/>
      <c r="H28" s="94"/>
      <c r="I28" s="94"/>
      <c r="M28" s="195">
        <f>SUM(M22:M27)</f>
        <v>9400000</v>
      </c>
    </row>
    <row r="29" spans="1:13">
      <c r="A29" s="78"/>
      <c r="B29" s="94"/>
      <c r="C29" s="94"/>
      <c r="D29" s="94"/>
      <c r="E29" s="94"/>
      <c r="F29" s="94"/>
      <c r="G29" s="89"/>
      <c r="H29" s="94"/>
      <c r="I29" s="94"/>
      <c r="J29" s="117" t="s">
        <v>190</v>
      </c>
      <c r="L29" s="198">
        <f>SUM(L14)</f>
        <v>4300293.32</v>
      </c>
      <c r="M29" s="198">
        <f>SUM(M28,M20)</f>
        <v>14537069.120000001</v>
      </c>
    </row>
    <row r="30" spans="1:13">
      <c r="A30" s="78"/>
      <c r="B30" s="94"/>
      <c r="C30" s="94"/>
      <c r="D30" s="94"/>
      <c r="E30" s="94"/>
      <c r="F30" s="94"/>
      <c r="G30" s="89"/>
      <c r="H30" s="94"/>
      <c r="I30" s="94"/>
    </row>
    <row r="31" spans="1:13">
      <c r="A31" s="78"/>
      <c r="B31" s="94"/>
      <c r="C31" s="94"/>
      <c r="D31" s="94"/>
      <c r="E31" s="94"/>
      <c r="F31" s="94"/>
      <c r="G31" s="89"/>
      <c r="H31" s="94"/>
      <c r="I31" s="94"/>
    </row>
    <row r="32" spans="1:13">
      <c r="A32" s="78"/>
      <c r="B32" s="94"/>
      <c r="C32" s="94"/>
      <c r="D32" s="94"/>
      <c r="E32" s="94"/>
      <c r="F32" s="94"/>
      <c r="G32" s="89"/>
      <c r="H32" s="94"/>
      <c r="I32" s="94"/>
    </row>
    <row r="33" spans="1:13">
      <c r="A33" s="78"/>
      <c r="B33" s="94"/>
      <c r="C33" s="94"/>
      <c r="D33" s="94"/>
      <c r="E33" s="94"/>
      <c r="F33" s="94"/>
      <c r="G33" s="89"/>
      <c r="H33" s="94"/>
      <c r="I33" s="94"/>
    </row>
    <row r="34" spans="1:13">
      <c r="A34" s="78"/>
      <c r="B34" s="94"/>
      <c r="C34" s="94"/>
      <c r="D34" s="94"/>
      <c r="E34" s="94"/>
      <c r="F34" s="94"/>
      <c r="G34" s="89"/>
      <c r="H34" s="94"/>
      <c r="I34" s="94"/>
      <c r="L34" s="109">
        <v>21367644.399999999</v>
      </c>
    </row>
    <row r="35" spans="1:13">
      <c r="A35" s="70"/>
      <c r="B35" s="103"/>
      <c r="C35" s="103"/>
      <c r="D35" s="103"/>
      <c r="E35" s="103"/>
      <c r="F35" s="94"/>
      <c r="G35" s="89"/>
      <c r="H35" s="94"/>
      <c r="I35" s="94"/>
      <c r="L35" s="109">
        <v>9400000</v>
      </c>
    </row>
    <row r="36" spans="1:13">
      <c r="A36" s="55"/>
      <c r="B36" s="55"/>
      <c r="C36" s="55"/>
      <c r="D36" s="55"/>
      <c r="E36" s="55"/>
      <c r="F36" s="55"/>
      <c r="G36" s="92" t="s">
        <v>74</v>
      </c>
      <c r="H36" s="55"/>
      <c r="L36" s="109">
        <f>SUM(L34:L35)</f>
        <v>30767644.399999999</v>
      </c>
    </row>
    <row r="37" spans="1:13">
      <c r="A37" s="55"/>
      <c r="D37" s="55"/>
      <c r="E37" s="55"/>
      <c r="F37" s="55"/>
      <c r="G37" s="92"/>
      <c r="H37" s="55"/>
    </row>
    <row r="38" spans="1:13">
      <c r="A38" s="55"/>
      <c r="B38" s="55"/>
      <c r="C38" s="55"/>
      <c r="D38" s="55"/>
      <c r="E38" s="55"/>
      <c r="F38" s="55"/>
      <c r="G38" s="92"/>
      <c r="H38" s="55"/>
    </row>
    <row r="39" spans="1:13">
      <c r="A39" s="55"/>
      <c r="B39" s="55"/>
      <c r="C39" s="55"/>
      <c r="D39" s="55"/>
      <c r="E39" s="55"/>
      <c r="F39" s="55"/>
      <c r="G39" s="92"/>
      <c r="H39" s="55"/>
      <c r="K39" s="109">
        <v>11666694.060000001</v>
      </c>
    </row>
    <row r="40" spans="1:13">
      <c r="A40" s="55"/>
      <c r="B40" s="55"/>
      <c r="C40" s="55"/>
      <c r="D40" s="55"/>
      <c r="E40" s="92"/>
      <c r="F40" s="55"/>
      <c r="G40" s="55"/>
      <c r="K40" s="109">
        <v>9670281.9600000009</v>
      </c>
    </row>
    <row r="41" spans="1:13">
      <c r="A41" s="55"/>
      <c r="B41" s="55"/>
      <c r="C41" s="55"/>
      <c r="D41" s="55"/>
      <c r="E41" s="55"/>
      <c r="F41" s="55"/>
      <c r="G41" s="55"/>
      <c r="K41" s="109">
        <f>K39-K40</f>
        <v>1996412.0999999996</v>
      </c>
      <c r="M41" s="109">
        <v>12749878.970000001</v>
      </c>
    </row>
    <row r="42" spans="1:13">
      <c r="A42" s="55" t="s">
        <v>83</v>
      </c>
      <c r="B42" s="55"/>
      <c r="C42" s="55"/>
      <c r="D42" s="55"/>
      <c r="E42" s="55"/>
      <c r="F42" s="55"/>
      <c r="G42" s="55" t="s">
        <v>29</v>
      </c>
      <c r="K42" s="109"/>
      <c r="M42" s="109">
        <v>2260000</v>
      </c>
    </row>
    <row r="43" spans="1:13">
      <c r="A43" s="55"/>
      <c r="B43" s="55"/>
      <c r="C43" s="55"/>
      <c r="D43" s="55"/>
      <c r="E43" s="55"/>
      <c r="F43" s="55"/>
      <c r="G43" s="55"/>
      <c r="K43" s="109"/>
      <c r="M43" s="116">
        <f>M41-M42</f>
        <v>10489878.970000001</v>
      </c>
    </row>
    <row r="44" spans="1:13">
      <c r="A44" s="55"/>
      <c r="B44" s="55"/>
      <c r="C44" s="55"/>
      <c r="D44" s="55"/>
      <c r="E44" s="55"/>
      <c r="F44" s="55"/>
      <c r="G44" s="55"/>
    </row>
    <row r="45" spans="1:13">
      <c r="A45" s="55" t="s">
        <v>84</v>
      </c>
      <c r="G45" s="140" t="s">
        <v>72</v>
      </c>
    </row>
    <row r="46" spans="1:13">
      <c r="A46" s="140" t="s">
        <v>86</v>
      </c>
      <c r="G46" s="140" t="s">
        <v>85</v>
      </c>
      <c r="M46" s="109">
        <v>499975</v>
      </c>
    </row>
    <row r="47" spans="1:13">
      <c r="G47" s="81"/>
      <c r="M47" s="109">
        <v>1690000</v>
      </c>
    </row>
    <row r="48" spans="1:13">
      <c r="M48" s="109">
        <v>126865</v>
      </c>
    </row>
    <row r="49" spans="2:13">
      <c r="M49" s="109">
        <v>27800</v>
      </c>
    </row>
    <row r="50" spans="2:13">
      <c r="M50" s="109">
        <v>71070</v>
      </c>
    </row>
    <row r="51" spans="2:13">
      <c r="M51" s="109">
        <v>204055</v>
      </c>
    </row>
    <row r="52" spans="2:13">
      <c r="M52" s="109">
        <v>173800</v>
      </c>
    </row>
    <row r="53" spans="2:13">
      <c r="M53" s="109">
        <v>177000</v>
      </c>
    </row>
    <row r="54" spans="2:13">
      <c r="M54" s="109">
        <v>229640</v>
      </c>
    </row>
    <row r="55" spans="2:13">
      <c r="B55" s="92">
        <f>B15+B19+C15+C17+C19</f>
        <v>30767644.400000002</v>
      </c>
      <c r="C55" s="92">
        <f>B19+C19</f>
        <v>11930281.960000001</v>
      </c>
      <c r="M55" s="109">
        <v>2209000</v>
      </c>
    </row>
    <row r="56" spans="2:13">
      <c r="M56" s="109">
        <v>147060</v>
      </c>
    </row>
    <row r="57" spans="2:13">
      <c r="M57" s="109">
        <v>1555500</v>
      </c>
    </row>
    <row r="58" spans="2:13">
      <c r="K58" s="117" t="s">
        <v>88</v>
      </c>
      <c r="M58" s="116">
        <f>SUM(M46:M57)</f>
        <v>7111765</v>
      </c>
    </row>
    <row r="60" spans="2:13">
      <c r="K60" s="117" t="s">
        <v>87</v>
      </c>
      <c r="M60" s="116">
        <f>M43-M58</f>
        <v>3378113.9700000007</v>
      </c>
    </row>
    <row r="62" spans="2:13">
      <c r="M62" s="116">
        <f>SUM(M60+M58)</f>
        <v>10489878.970000001</v>
      </c>
    </row>
    <row r="64" spans="2:13">
      <c r="L64" s="109">
        <v>200000</v>
      </c>
    </row>
    <row r="65" spans="12:12">
      <c r="L65" s="109">
        <v>100000</v>
      </c>
    </row>
    <row r="66" spans="12:12">
      <c r="L66" s="109">
        <v>174750</v>
      </c>
    </row>
    <row r="67" spans="12:12">
      <c r="L67" s="109">
        <v>27000</v>
      </c>
    </row>
    <row r="68" spans="12:12">
      <c r="L68" s="109">
        <v>250000</v>
      </c>
    </row>
    <row r="69" spans="12:12">
      <c r="L69" s="109">
        <v>1151734.5</v>
      </c>
    </row>
    <row r="70" spans="12:12">
      <c r="L70" s="116">
        <f>SUM(L64:L69)</f>
        <v>1903484.5</v>
      </c>
    </row>
    <row r="71" spans="12:12">
      <c r="L71" s="109">
        <v>60855</v>
      </c>
    </row>
    <row r="72" spans="12:12">
      <c r="L72" s="109">
        <v>32072.6</v>
      </c>
    </row>
    <row r="73" spans="12:12">
      <c r="L73" s="116">
        <f>SUM(L71:L72)</f>
        <v>92927.6</v>
      </c>
    </row>
    <row r="74" spans="12:12">
      <c r="L74" s="109">
        <f>SUM(L73,L70)</f>
        <v>1996412.1</v>
      </c>
    </row>
  </sheetData>
  <mergeCells count="11">
    <mergeCell ref="L9:M9"/>
    <mergeCell ref="N9:O9"/>
    <mergeCell ref="A1:I1"/>
    <mergeCell ref="A3:I3"/>
    <mergeCell ref="A4:I4"/>
    <mergeCell ref="A5:I5"/>
    <mergeCell ref="A2:I2"/>
    <mergeCell ref="B8:C8"/>
    <mergeCell ref="D8:E8"/>
    <mergeCell ref="B7:E7"/>
    <mergeCell ref="F7:I7"/>
  </mergeCells>
  <pageMargins left="0.39" right="0.15" top="0.39" bottom="0.1" header="0.21" footer="0.1"/>
  <pageSetup scale="90" orientation="portrait" horizontalDpi="120" verticalDpi="180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FF00"/>
  </sheetPr>
  <dimension ref="A1:N231"/>
  <sheetViews>
    <sheetView topLeftCell="A22" workbookViewId="0">
      <selection activeCell="J13" sqref="J13"/>
    </sheetView>
  </sheetViews>
  <sheetFormatPr defaultRowHeight="12.75"/>
  <cols>
    <col min="1" max="1" width="6" style="46" customWidth="1"/>
    <col min="2" max="3" width="9.140625" style="46"/>
    <col min="4" max="4" width="16.5703125" style="46" customWidth="1"/>
    <col min="5" max="5" width="12.42578125" style="46" customWidth="1"/>
    <col min="6" max="6" width="13.140625" style="46" customWidth="1"/>
    <col min="7" max="7" width="10" style="46" customWidth="1"/>
    <col min="8" max="8" width="11.5703125" style="46" customWidth="1"/>
    <col min="9" max="9" width="11.42578125" style="46" customWidth="1"/>
    <col min="10" max="10" width="13.28515625" style="109" customWidth="1"/>
    <col min="11" max="11" width="15.7109375" style="46" customWidth="1"/>
    <col min="12" max="12" width="16.85546875" style="109" customWidth="1"/>
    <col min="13" max="13" width="17" style="109" customWidth="1"/>
    <col min="14" max="14" width="17" style="46" customWidth="1"/>
    <col min="15" max="16384" width="9.140625" style="46"/>
  </cols>
  <sheetData>
    <row r="1" spans="1:13">
      <c r="A1" s="47"/>
      <c r="B1" s="48"/>
      <c r="C1" s="48"/>
      <c r="D1" s="48"/>
      <c r="E1" s="48"/>
      <c r="F1" s="48"/>
      <c r="G1" s="48"/>
      <c r="H1" s="48"/>
      <c r="I1" s="48"/>
      <c r="J1" s="169" t="s">
        <v>81</v>
      </c>
    </row>
    <row r="2" spans="1:13">
      <c r="A2" s="389" t="s">
        <v>80</v>
      </c>
      <c r="B2" s="390"/>
      <c r="C2" s="390"/>
      <c r="D2" s="390"/>
      <c r="E2" s="390"/>
      <c r="F2" s="390"/>
      <c r="G2" s="390"/>
      <c r="H2" s="390"/>
      <c r="I2" s="390"/>
      <c r="J2" s="391"/>
    </row>
    <row r="3" spans="1:13">
      <c r="A3" s="389" t="s">
        <v>200</v>
      </c>
      <c r="B3" s="390"/>
      <c r="C3" s="390"/>
      <c r="D3" s="390"/>
      <c r="E3" s="390"/>
      <c r="F3" s="390"/>
      <c r="G3" s="390"/>
      <c r="H3" s="390"/>
      <c r="I3" s="390"/>
      <c r="J3" s="391"/>
    </row>
    <row r="4" spans="1:13">
      <c r="A4" s="389"/>
      <c r="B4" s="390"/>
      <c r="C4" s="390"/>
      <c r="D4" s="390"/>
      <c r="E4" s="390"/>
      <c r="F4" s="390"/>
      <c r="G4" s="390"/>
      <c r="H4" s="390"/>
      <c r="I4" s="390"/>
      <c r="J4" s="391"/>
    </row>
    <row r="5" spans="1:13">
      <c r="A5" s="54" t="s">
        <v>77</v>
      </c>
      <c r="B5" s="209"/>
      <c r="C5" s="209"/>
      <c r="D5" s="209"/>
      <c r="E5" s="209"/>
      <c r="F5" s="209"/>
      <c r="G5" s="209"/>
      <c r="H5" s="209"/>
      <c r="I5" s="209"/>
      <c r="J5" s="170"/>
    </row>
    <row r="6" spans="1:13">
      <c r="A6" s="54" t="s">
        <v>76</v>
      </c>
      <c r="B6" s="55"/>
      <c r="C6" s="55"/>
      <c r="D6" s="55"/>
      <c r="E6" s="55"/>
      <c r="F6" s="55"/>
      <c r="G6" s="55"/>
      <c r="H6" s="55"/>
      <c r="I6" s="55"/>
      <c r="J6" s="171"/>
    </row>
    <row r="7" spans="1:13">
      <c r="A7" s="47"/>
      <c r="B7" s="48"/>
      <c r="C7" s="48"/>
      <c r="D7" s="49"/>
      <c r="E7" s="88" t="s">
        <v>8</v>
      </c>
      <c r="F7" s="50"/>
      <c r="G7" s="52"/>
      <c r="H7" s="52"/>
      <c r="I7" s="53"/>
      <c r="J7" s="110"/>
    </row>
    <row r="8" spans="1:13">
      <c r="A8" s="54"/>
      <c r="B8" s="55"/>
      <c r="C8" s="55"/>
      <c r="D8" s="56"/>
      <c r="E8" s="208" t="s">
        <v>9</v>
      </c>
      <c r="F8" s="53"/>
      <c r="G8" s="59"/>
      <c r="H8" s="59"/>
      <c r="I8" s="58"/>
      <c r="J8" s="111"/>
    </row>
    <row r="9" spans="1:13">
      <c r="A9" s="61" t="s">
        <v>68</v>
      </c>
      <c r="B9" s="55"/>
      <c r="C9" s="55"/>
      <c r="D9" s="56"/>
      <c r="E9" s="208" t="s">
        <v>10</v>
      </c>
      <c r="F9" s="60" t="s">
        <v>12</v>
      </c>
      <c r="G9" s="60" t="s">
        <v>14</v>
      </c>
      <c r="H9" s="60" t="s">
        <v>20</v>
      </c>
      <c r="I9" s="60" t="s">
        <v>22</v>
      </c>
      <c r="J9" s="112" t="s">
        <v>24</v>
      </c>
    </row>
    <row r="10" spans="1:13">
      <c r="A10" s="54"/>
      <c r="B10" s="55"/>
      <c r="C10" s="55"/>
      <c r="D10" s="56"/>
      <c r="E10" s="208" t="s">
        <v>11</v>
      </c>
      <c r="F10" s="60" t="s">
        <v>13</v>
      </c>
      <c r="G10" s="59"/>
      <c r="H10" s="60" t="s">
        <v>21</v>
      </c>
      <c r="I10" s="60" t="s">
        <v>23</v>
      </c>
      <c r="J10" s="111"/>
    </row>
    <row r="11" spans="1:13">
      <c r="A11" s="62"/>
      <c r="B11" s="63"/>
      <c r="C11" s="63"/>
      <c r="D11" s="64"/>
      <c r="E11" s="65">
        <v>0.3</v>
      </c>
      <c r="F11" s="66">
        <v>0.7</v>
      </c>
      <c r="G11" s="59"/>
      <c r="H11" s="67"/>
      <c r="I11" s="68"/>
      <c r="J11" s="113"/>
    </row>
    <row r="12" spans="1:13" ht="18" customHeight="1">
      <c r="A12" s="70" t="s">
        <v>0</v>
      </c>
      <c r="B12" s="71"/>
      <c r="C12" s="71"/>
      <c r="D12" s="72"/>
      <c r="E12" s="51"/>
      <c r="F12" s="51"/>
      <c r="G12" s="51"/>
      <c r="H12" s="51"/>
      <c r="I12" s="51"/>
      <c r="J12" s="110"/>
      <c r="L12" s="118" t="s">
        <v>90</v>
      </c>
      <c r="M12" s="118" t="s">
        <v>89</v>
      </c>
    </row>
    <row r="13" spans="1:13" ht="18" customHeight="1">
      <c r="A13" s="73" t="s">
        <v>1</v>
      </c>
      <c r="B13" s="72"/>
      <c r="C13" s="72"/>
      <c r="D13" s="72"/>
      <c r="E13" s="94">
        <f>M19*0.3</f>
        <v>866998.24424999987</v>
      </c>
      <c r="F13" s="94">
        <f>M19*0.7</f>
        <v>2022995.9032499995</v>
      </c>
      <c r="G13" s="94"/>
      <c r="H13" s="94"/>
      <c r="I13" s="94"/>
      <c r="J13" s="275">
        <f>SUM(E13:I13)</f>
        <v>2889994.1474999995</v>
      </c>
      <c r="K13" s="175" t="e">
        <f>SUM(J13+#REF!+#REF!+#REF!+#REF!+#REF!+#REF!+#REF!+#REF!+#REF!+#REF!+#REF!)</f>
        <v>#REF!</v>
      </c>
      <c r="L13" s="109">
        <v>21367644.399999999</v>
      </c>
      <c r="M13" s="109">
        <v>4171566.4</v>
      </c>
    </row>
    <row r="14" spans="1:13" ht="18" customHeight="1">
      <c r="A14" s="73" t="s">
        <v>2</v>
      </c>
      <c r="B14" s="72"/>
      <c r="C14" s="72"/>
      <c r="D14" s="72"/>
      <c r="E14" s="102"/>
      <c r="F14" s="102"/>
      <c r="G14" s="102"/>
      <c r="H14" s="102"/>
      <c r="I14" s="102"/>
      <c r="J14" s="110">
        <f>SUM(E14:I14)</f>
        <v>0</v>
      </c>
      <c r="K14" s="117" t="s">
        <v>88</v>
      </c>
      <c r="L14" s="109">
        <v>9400000</v>
      </c>
      <c r="M14" s="109">
        <v>5637398.9699999997</v>
      </c>
    </row>
    <row r="15" spans="1:13" ht="18" customHeight="1">
      <c r="A15" s="75" t="s">
        <v>3</v>
      </c>
      <c r="B15" s="48"/>
      <c r="C15" s="48"/>
      <c r="D15" s="48"/>
      <c r="E15" s="102"/>
      <c r="F15" s="102"/>
      <c r="G15" s="102"/>
      <c r="H15" s="102"/>
      <c r="I15" s="102"/>
      <c r="J15" s="110"/>
      <c r="L15" s="116">
        <f>SUM(L13:L14)</f>
        <v>30767644.399999999</v>
      </c>
      <c r="M15" s="116">
        <f>SUM(M13:M14)</f>
        <v>9808965.3699999992</v>
      </c>
    </row>
    <row r="16" spans="1:13" ht="18" customHeight="1">
      <c r="A16" s="76" t="s">
        <v>78</v>
      </c>
      <c r="B16" s="55"/>
      <c r="C16" s="55"/>
      <c r="D16" s="55"/>
      <c r="E16" s="103"/>
      <c r="F16" s="103"/>
      <c r="G16" s="103"/>
      <c r="H16" s="103"/>
      <c r="I16" s="103"/>
      <c r="J16" s="113">
        <f>SUM(E16:I16)</f>
        <v>0</v>
      </c>
      <c r="K16" s="46">
        <v>11930281.960000001</v>
      </c>
    </row>
    <row r="17" spans="1:13" ht="18" customHeight="1">
      <c r="A17" s="77" t="s">
        <v>79</v>
      </c>
      <c r="B17" s="72"/>
      <c r="C17" s="72"/>
      <c r="D17" s="72"/>
      <c r="E17" s="94"/>
      <c r="F17" s="94"/>
      <c r="G17" s="94"/>
      <c r="H17" s="94"/>
      <c r="I17" s="94"/>
      <c r="J17" s="113">
        <f>SUM(E17:I17)</f>
        <v>0</v>
      </c>
      <c r="K17" s="173">
        <f>K16-J16</f>
        <v>11930281.960000001</v>
      </c>
      <c r="M17" s="109">
        <v>25936573.030000001</v>
      </c>
    </row>
    <row r="18" spans="1:13" ht="18" customHeight="1">
      <c r="A18" s="70" t="s">
        <v>7</v>
      </c>
      <c r="B18" s="72"/>
      <c r="C18" s="72"/>
      <c r="D18" s="72"/>
      <c r="E18" s="119">
        <f>SUM(E13:E17)</f>
        <v>866998.24424999987</v>
      </c>
      <c r="F18" s="119">
        <f t="shared" ref="F18:J18" si="0">SUM(F13:F17)</f>
        <v>2022995.9032499995</v>
      </c>
      <c r="G18" s="119">
        <f t="shared" si="0"/>
        <v>0</v>
      </c>
      <c r="H18" s="119">
        <f t="shared" si="0"/>
        <v>0</v>
      </c>
      <c r="I18" s="119">
        <f t="shared" si="0"/>
        <v>0</v>
      </c>
      <c r="J18" s="119">
        <f t="shared" si="0"/>
        <v>2889994.1474999995</v>
      </c>
      <c r="K18" s="166">
        <f t="shared" ref="K18:K40" si="1">SUM(E18:I18)</f>
        <v>2889994.1474999995</v>
      </c>
      <c r="L18" s="193" t="s">
        <v>171</v>
      </c>
      <c r="M18" s="192">
        <f>364524102.84-306724219.89</f>
        <v>57799882.949999988</v>
      </c>
    </row>
    <row r="19" spans="1:13" s="109" customFormat="1" ht="18" customHeight="1">
      <c r="A19" s="74" t="s">
        <v>99</v>
      </c>
      <c r="B19" s="72" t="s">
        <v>100</v>
      </c>
      <c r="C19" s="72"/>
      <c r="D19" s="72"/>
      <c r="E19" s="94">
        <f>SUM('DRRM Funds June 2014'!E41)</f>
        <v>12728839.818349998</v>
      </c>
      <c r="F19" s="94">
        <f>SUM('DRRM Funds June 2014'!F41)</f>
        <v>21915610.186149996</v>
      </c>
      <c r="G19" s="94">
        <f>SUM('DRRM Funds June 2014'!G41)</f>
        <v>0</v>
      </c>
      <c r="H19" s="94">
        <f>SUM('DRRM Funds June 2014'!H41)</f>
        <v>10140</v>
      </c>
      <c r="I19" s="94">
        <f>SUM('DRRM Funds June 2014'!I41)</f>
        <v>0</v>
      </c>
      <c r="J19" s="94">
        <f>SUM('DRRM Funds June 2014'!J41)</f>
        <v>34654590.004500002</v>
      </c>
      <c r="K19" s="166">
        <f t="shared" si="1"/>
        <v>34654590.004499994</v>
      </c>
      <c r="L19" s="194">
        <v>0.05</v>
      </c>
      <c r="M19" s="192">
        <f>M18*0.05</f>
        <v>2889994.1474999995</v>
      </c>
    </row>
    <row r="20" spans="1:13" s="109" customFormat="1" ht="18" customHeight="1">
      <c r="A20" s="70" t="s">
        <v>101</v>
      </c>
      <c r="B20" s="122"/>
      <c r="C20" s="72"/>
      <c r="D20" s="72"/>
      <c r="E20" s="119">
        <f>SUM(E18:E19)</f>
        <v>13595838.062599998</v>
      </c>
      <c r="F20" s="119">
        <f t="shared" ref="F20:J20" si="2">SUM(F18:F19)</f>
        <v>23938606.089399993</v>
      </c>
      <c r="G20" s="119">
        <f t="shared" si="2"/>
        <v>0</v>
      </c>
      <c r="H20" s="119">
        <f t="shared" si="2"/>
        <v>10140</v>
      </c>
      <c r="I20" s="119">
        <f t="shared" si="2"/>
        <v>0</v>
      </c>
      <c r="J20" s="119">
        <f t="shared" si="2"/>
        <v>37544584.152000003</v>
      </c>
      <c r="K20" s="166">
        <f t="shared" si="1"/>
        <v>37544584.151999995</v>
      </c>
    </row>
    <row r="21" spans="1:13" ht="18" customHeight="1">
      <c r="A21" s="70" t="s">
        <v>15</v>
      </c>
      <c r="B21" s="72"/>
      <c r="C21" s="72"/>
      <c r="D21" s="72"/>
      <c r="E21" s="94"/>
      <c r="F21" s="94"/>
      <c r="G21" s="94"/>
      <c r="H21" s="94"/>
      <c r="I21" s="94"/>
      <c r="J21" s="111"/>
      <c r="K21" s="166">
        <f t="shared" si="1"/>
        <v>0</v>
      </c>
      <c r="M21" s="109">
        <v>26972032.48</v>
      </c>
    </row>
    <row r="22" spans="1:13" ht="18" customHeight="1">
      <c r="A22" s="78" t="s">
        <v>16</v>
      </c>
      <c r="B22" s="72"/>
      <c r="C22" s="72"/>
      <c r="D22" s="72"/>
      <c r="E22" s="94"/>
      <c r="F22" s="94"/>
      <c r="G22" s="94"/>
      <c r="H22" s="94"/>
      <c r="I22" s="94"/>
      <c r="J22" s="114">
        <f t="shared" ref="J22" si="3">SUM(E22:I22)</f>
        <v>0</v>
      </c>
      <c r="K22" s="166">
        <f t="shared" si="1"/>
        <v>0</v>
      </c>
      <c r="L22" s="176">
        <f>518731460.56*0.05</f>
        <v>25936573.028000001</v>
      </c>
      <c r="M22" s="109">
        <v>10934284.82</v>
      </c>
    </row>
    <row r="23" spans="1:13" ht="18" customHeight="1">
      <c r="A23" s="78" t="s">
        <v>70</v>
      </c>
      <c r="B23" s="72"/>
      <c r="C23" s="72"/>
      <c r="D23" s="72"/>
      <c r="E23" s="94"/>
      <c r="F23" s="94">
        <f>9600+28301+82500+33000+9500+20000+3500+90000+72000+18765+5000+7700+67500+34200+1350+6000+6400+11800+3000+15000+7800</f>
        <v>532916</v>
      </c>
      <c r="G23" s="94"/>
      <c r="H23" s="94"/>
      <c r="I23" s="94"/>
      <c r="J23" s="114">
        <f>SUM(E23:I23)</f>
        <v>532916</v>
      </c>
      <c r="K23" s="166">
        <f t="shared" si="1"/>
        <v>532916</v>
      </c>
      <c r="L23" s="109" t="e">
        <f>L22-K13</f>
        <v>#REF!</v>
      </c>
      <c r="M23" s="109">
        <f>M21-M22</f>
        <v>16037747.66</v>
      </c>
    </row>
    <row r="24" spans="1:13" ht="18" customHeight="1">
      <c r="A24" s="78" t="s">
        <v>71</v>
      </c>
      <c r="B24" s="72"/>
      <c r="C24" s="72"/>
      <c r="D24" s="72"/>
      <c r="E24" s="94"/>
      <c r="F24" s="94">
        <f>225473.91+4485+228866.8+219313.24+106450</f>
        <v>784588.95</v>
      </c>
      <c r="G24" s="94"/>
      <c r="H24" s="94"/>
      <c r="I24" s="94"/>
      <c r="J24" s="114">
        <f t="shared" ref="J24:J37" si="4">SUM(E24:I24)</f>
        <v>784588.95</v>
      </c>
      <c r="K24" s="166">
        <f t="shared" si="1"/>
        <v>784588.95</v>
      </c>
    </row>
    <row r="25" spans="1:13" ht="18" customHeight="1">
      <c r="A25" s="79" t="s">
        <v>91</v>
      </c>
      <c r="B25" s="72"/>
      <c r="C25" s="72"/>
      <c r="D25" s="72"/>
      <c r="E25" s="94"/>
      <c r="F25" s="94">
        <v>2160</v>
      </c>
      <c r="G25" s="94"/>
      <c r="H25" s="94"/>
      <c r="I25" s="94"/>
      <c r="J25" s="114">
        <f t="shared" si="4"/>
        <v>2160</v>
      </c>
      <c r="K25" s="166">
        <f t="shared" si="1"/>
        <v>2160</v>
      </c>
    </row>
    <row r="26" spans="1:13" ht="18" customHeight="1">
      <c r="A26" s="78" t="s">
        <v>17</v>
      </c>
      <c r="B26" s="72"/>
      <c r="C26" s="72"/>
      <c r="D26" s="72"/>
      <c r="E26" s="94"/>
      <c r="F26" s="94"/>
      <c r="G26" s="94"/>
      <c r="H26" s="94"/>
      <c r="I26" s="94"/>
      <c r="J26" s="114">
        <f t="shared" si="4"/>
        <v>0</v>
      </c>
      <c r="K26" s="166">
        <f t="shared" si="1"/>
        <v>0</v>
      </c>
    </row>
    <row r="27" spans="1:13" ht="18" customHeight="1">
      <c r="A27" s="78" t="s">
        <v>18</v>
      </c>
      <c r="B27" s="72"/>
      <c r="C27" s="72"/>
      <c r="D27" s="72"/>
      <c r="E27" s="94"/>
      <c r="F27" s="94">
        <f>3200+1395000</f>
        <v>1398200</v>
      </c>
      <c r="G27" s="94"/>
      <c r="H27" s="94"/>
      <c r="I27" s="94"/>
      <c r="J27" s="114">
        <f t="shared" si="4"/>
        <v>1398200</v>
      </c>
      <c r="K27" s="166">
        <f t="shared" si="1"/>
        <v>1398200</v>
      </c>
      <c r="L27" s="118" t="s">
        <v>162</v>
      </c>
    </row>
    <row r="28" spans="1:13" ht="18" customHeight="1">
      <c r="A28" s="78" t="s">
        <v>102</v>
      </c>
      <c r="B28" s="72"/>
      <c r="C28" s="72"/>
      <c r="D28" s="72"/>
      <c r="E28" s="94"/>
      <c r="F28" s="94"/>
      <c r="G28" s="94"/>
      <c r="H28" s="94"/>
      <c r="I28" s="94"/>
      <c r="J28" s="114">
        <f t="shared" si="4"/>
        <v>0</v>
      </c>
      <c r="K28" s="166">
        <f t="shared" si="1"/>
        <v>0</v>
      </c>
      <c r="L28" s="109">
        <f>SUM(F27:F28)</f>
        <v>1398200</v>
      </c>
    </row>
    <row r="29" spans="1:13" ht="18" customHeight="1">
      <c r="A29" s="78" t="s">
        <v>19</v>
      </c>
      <c r="B29" s="72"/>
      <c r="C29" s="72"/>
      <c r="D29" s="72"/>
      <c r="E29" s="94"/>
      <c r="F29" s="94"/>
      <c r="G29" s="94"/>
      <c r="H29" s="94"/>
      <c r="I29" s="94"/>
      <c r="J29" s="114">
        <f t="shared" si="4"/>
        <v>0</v>
      </c>
      <c r="K29" s="166">
        <f t="shared" si="1"/>
        <v>0</v>
      </c>
      <c r="L29" s="109">
        <v>147060</v>
      </c>
    </row>
    <row r="30" spans="1:13" ht="18" customHeight="1">
      <c r="A30" s="78" t="s">
        <v>168</v>
      </c>
      <c r="B30" s="72"/>
      <c r="C30" s="72"/>
      <c r="D30" s="72"/>
      <c r="E30" s="94"/>
      <c r="F30" s="94"/>
      <c r="G30" s="94"/>
      <c r="H30" s="94"/>
      <c r="I30" s="94"/>
      <c r="J30" s="114">
        <f t="shared" si="4"/>
        <v>0</v>
      </c>
      <c r="K30" s="166">
        <f t="shared" si="1"/>
        <v>0</v>
      </c>
    </row>
    <row r="31" spans="1:13" ht="18" customHeight="1">
      <c r="A31" s="78" t="s">
        <v>98</v>
      </c>
      <c r="B31" s="72"/>
      <c r="C31" s="72"/>
      <c r="D31" s="72"/>
      <c r="E31" s="94"/>
      <c r="F31" s="94"/>
      <c r="G31" s="94"/>
      <c r="H31" s="94"/>
      <c r="I31" s="94"/>
      <c r="J31" s="114"/>
      <c r="K31" s="166">
        <f t="shared" si="1"/>
        <v>0</v>
      </c>
      <c r="L31" s="109">
        <v>1555500</v>
      </c>
    </row>
    <row r="32" spans="1:13" ht="18" customHeight="1">
      <c r="A32" s="78"/>
      <c r="B32" s="72" t="s">
        <v>5</v>
      </c>
      <c r="C32" s="72"/>
      <c r="D32" s="72"/>
      <c r="E32" s="94"/>
      <c r="F32" s="94"/>
      <c r="G32" s="94"/>
      <c r="H32" s="94"/>
      <c r="I32" s="94"/>
      <c r="J32" s="114">
        <f t="shared" si="4"/>
        <v>0</v>
      </c>
      <c r="K32" s="166">
        <f t="shared" si="1"/>
        <v>0</v>
      </c>
      <c r="L32" s="109">
        <v>229640</v>
      </c>
      <c r="M32" s="109">
        <v>2313123</v>
      </c>
    </row>
    <row r="33" spans="1:14" ht="18" customHeight="1">
      <c r="A33" s="78"/>
      <c r="B33" s="72" t="s">
        <v>97</v>
      </c>
      <c r="C33" s="72"/>
      <c r="D33" s="72"/>
      <c r="E33" s="94"/>
      <c r="F33" s="94"/>
      <c r="G33" s="94"/>
      <c r="H33" s="94"/>
      <c r="I33" s="94"/>
      <c r="J33" s="114">
        <f t="shared" si="4"/>
        <v>0</v>
      </c>
      <c r="K33" s="166">
        <f t="shared" si="1"/>
        <v>0</v>
      </c>
      <c r="L33" s="109">
        <v>2209000</v>
      </c>
    </row>
    <row r="34" spans="1:14" ht="18" customHeight="1">
      <c r="A34" s="78" t="s">
        <v>75</v>
      </c>
      <c r="B34" s="72"/>
      <c r="C34" s="72"/>
      <c r="D34" s="72"/>
      <c r="E34" s="94"/>
      <c r="F34" s="94"/>
      <c r="G34" s="94"/>
      <c r="H34" s="94"/>
      <c r="I34" s="94"/>
      <c r="J34" s="114">
        <f t="shared" si="4"/>
        <v>0</v>
      </c>
      <c r="K34" s="166">
        <f t="shared" si="1"/>
        <v>0</v>
      </c>
      <c r="L34" s="109">
        <v>173800</v>
      </c>
    </row>
    <row r="35" spans="1:14" ht="18" customHeight="1">
      <c r="A35" s="79" t="s">
        <v>94</v>
      </c>
      <c r="B35" s="72"/>
      <c r="C35" s="72"/>
      <c r="D35" s="72"/>
      <c r="E35" s="94"/>
      <c r="F35" s="94"/>
      <c r="G35" s="94"/>
      <c r="H35" s="94"/>
      <c r="I35" s="94"/>
      <c r="J35" s="114">
        <f t="shared" si="4"/>
        <v>0</v>
      </c>
      <c r="K35" s="166">
        <f t="shared" si="1"/>
        <v>0</v>
      </c>
      <c r="L35" s="109">
        <v>177000</v>
      </c>
    </row>
    <row r="36" spans="1:14" ht="18" customHeight="1">
      <c r="A36" s="79" t="s">
        <v>95</v>
      </c>
      <c r="B36" s="72"/>
      <c r="C36" s="72"/>
      <c r="D36" s="72"/>
      <c r="E36" s="94"/>
      <c r="F36" s="94"/>
      <c r="G36" s="94"/>
      <c r="H36" s="94"/>
      <c r="I36" s="94"/>
      <c r="J36" s="114">
        <f t="shared" si="4"/>
        <v>0</v>
      </c>
      <c r="K36" s="166">
        <f t="shared" si="1"/>
        <v>0</v>
      </c>
      <c r="L36" s="109">
        <v>204055</v>
      </c>
    </row>
    <row r="37" spans="1:14" ht="18" customHeight="1">
      <c r="A37" s="78" t="s">
        <v>96</v>
      </c>
      <c r="B37" s="72"/>
      <c r="C37" s="72"/>
      <c r="D37" s="72"/>
      <c r="E37" s="94"/>
      <c r="F37" s="94"/>
      <c r="G37" s="94"/>
      <c r="H37" s="94"/>
      <c r="I37" s="94"/>
      <c r="J37" s="114">
        <f t="shared" si="4"/>
        <v>0</v>
      </c>
      <c r="K37" s="166">
        <f t="shared" si="1"/>
        <v>0</v>
      </c>
      <c r="L37" s="109">
        <v>71070</v>
      </c>
    </row>
    <row r="38" spans="1:14" ht="18" customHeight="1">
      <c r="A38" s="84" t="s">
        <v>92</v>
      </c>
      <c r="B38" s="63"/>
      <c r="C38" s="63"/>
      <c r="D38" s="63"/>
      <c r="E38" s="94">
        <f t="shared" ref="E38:J38" si="5">SUM(E22:E37)</f>
        <v>0</v>
      </c>
      <c r="F38" s="94">
        <f t="shared" si="5"/>
        <v>2717864.95</v>
      </c>
      <c r="G38" s="94">
        <f t="shared" si="5"/>
        <v>0</v>
      </c>
      <c r="H38" s="94">
        <f t="shared" si="5"/>
        <v>0</v>
      </c>
      <c r="I38" s="94">
        <f t="shared" si="5"/>
        <v>0</v>
      </c>
      <c r="J38" s="94">
        <f t="shared" si="5"/>
        <v>2717864.95</v>
      </c>
      <c r="K38" s="166">
        <f t="shared" si="1"/>
        <v>2717864.95</v>
      </c>
      <c r="L38" s="109">
        <v>27800</v>
      </c>
      <c r="M38" s="46"/>
    </row>
    <row r="39" spans="1:14" ht="18" customHeight="1">
      <c r="A39" s="84" t="s">
        <v>103</v>
      </c>
      <c r="B39" s="63"/>
      <c r="C39" s="63"/>
      <c r="D39" s="63"/>
      <c r="E39" s="103">
        <f>SUM('DRRM Funds June 2014'!E40)</f>
        <v>28983</v>
      </c>
      <c r="F39" s="103">
        <f>SUM('DRRM Funds June 2014'!F40)</f>
        <v>4747344.790000001</v>
      </c>
      <c r="G39" s="103">
        <f>SUM('DRRM Funds June 2014'!G40)</f>
        <v>0</v>
      </c>
      <c r="H39" s="103">
        <f>SUM('DRRM Funds June 2014'!H40)</f>
        <v>0</v>
      </c>
      <c r="I39" s="103">
        <f>SUM('DRRM Funds June 2014'!I40)</f>
        <v>0</v>
      </c>
      <c r="J39" s="103">
        <f>SUM('DRRM Funds June 2014'!J40)</f>
        <v>4776327.790000001</v>
      </c>
      <c r="K39" s="166">
        <f t="shared" si="1"/>
        <v>4776327.790000001</v>
      </c>
      <c r="L39" s="109">
        <v>126865</v>
      </c>
      <c r="M39" s="109">
        <f>SUM(E39:H39)</f>
        <v>4776327.790000001</v>
      </c>
    </row>
    <row r="40" spans="1:14" ht="18" customHeight="1">
      <c r="A40" s="84" t="s">
        <v>104</v>
      </c>
      <c r="B40" s="63"/>
      <c r="C40" s="63"/>
      <c r="D40" s="63"/>
      <c r="E40" s="103">
        <f>SUM(E38:E39)</f>
        <v>28983</v>
      </c>
      <c r="F40" s="103">
        <f>SUM(F38:F39)</f>
        <v>7465209.7400000012</v>
      </c>
      <c r="G40" s="103">
        <f t="shared" ref="G40:J40" si="6">SUM(G38:G39)</f>
        <v>0</v>
      </c>
      <c r="H40" s="103">
        <f t="shared" si="6"/>
        <v>0</v>
      </c>
      <c r="I40" s="103">
        <f t="shared" si="6"/>
        <v>0</v>
      </c>
      <c r="J40" s="103">
        <f t="shared" si="6"/>
        <v>7494192.7400000012</v>
      </c>
      <c r="K40" s="166">
        <f t="shared" si="1"/>
        <v>7494192.7400000012</v>
      </c>
      <c r="L40" s="174">
        <f>SUM(L28:L39)</f>
        <v>6319990</v>
      </c>
      <c r="M40" s="109">
        <v>10492358.970000001</v>
      </c>
    </row>
    <row r="41" spans="1:14" ht="18" customHeight="1">
      <c r="A41" s="70" t="s">
        <v>93</v>
      </c>
      <c r="B41" s="72"/>
      <c r="C41" s="72"/>
      <c r="D41" s="80"/>
      <c r="E41" s="120">
        <f>E20-E38</f>
        <v>13595838.062599998</v>
      </c>
      <c r="F41" s="120">
        <f t="shared" ref="F41:J41" si="7">F20-F38</f>
        <v>21220741.139399994</v>
      </c>
      <c r="G41" s="120">
        <f t="shared" si="7"/>
        <v>0</v>
      </c>
      <c r="H41" s="120">
        <f t="shared" si="7"/>
        <v>10140</v>
      </c>
      <c r="I41" s="120">
        <f t="shared" si="7"/>
        <v>0</v>
      </c>
      <c r="J41" s="120">
        <f t="shared" si="7"/>
        <v>34826719.202</v>
      </c>
      <c r="K41" s="166">
        <f>SUM(E41:I41)</f>
        <v>34826719.201999992</v>
      </c>
      <c r="L41" s="46"/>
      <c r="M41" s="109">
        <f>M40-L40</f>
        <v>4172368.9700000007</v>
      </c>
    </row>
    <row r="42" spans="1:14" ht="18" customHeight="1">
      <c r="A42" s="55"/>
      <c r="B42" s="55"/>
      <c r="C42" s="55"/>
      <c r="D42" s="55"/>
      <c r="E42" s="55"/>
      <c r="F42" s="55"/>
      <c r="G42" s="55"/>
      <c r="H42" s="55"/>
      <c r="I42" s="55"/>
      <c r="J42" s="115" t="s">
        <v>74</v>
      </c>
      <c r="K42" s="92">
        <f>SUM(E41:F41)</f>
        <v>34816579.201999992</v>
      </c>
      <c r="M42" s="109">
        <v>0</v>
      </c>
    </row>
    <row r="43" spans="1:14" ht="18" customHeight="1">
      <c r="A43" s="55"/>
      <c r="B43" s="55"/>
      <c r="C43" s="55"/>
      <c r="D43" s="55"/>
      <c r="E43" s="55"/>
      <c r="F43" s="55"/>
      <c r="G43" s="55"/>
      <c r="H43" s="92"/>
      <c r="I43" s="55"/>
      <c r="J43" s="115"/>
      <c r="K43" s="55"/>
      <c r="M43" s="109">
        <v>289860</v>
      </c>
    </row>
    <row r="44" spans="1:14" ht="18" customHeight="1">
      <c r="A44" s="55"/>
      <c r="B44" s="55"/>
      <c r="C44" s="55"/>
      <c r="D44" s="55"/>
      <c r="E44" s="55"/>
      <c r="F44" s="55"/>
      <c r="G44" s="55"/>
      <c r="H44" s="55"/>
      <c r="I44" s="55"/>
      <c r="J44" s="115"/>
      <c r="K44" s="92">
        <f>SUM(E40:F40)</f>
        <v>7494192.7400000012</v>
      </c>
      <c r="M44" s="109">
        <f>SUM(M41:M43)</f>
        <v>4462228.9700000007</v>
      </c>
      <c r="N44" s="173">
        <f>SUM(L40+M44)</f>
        <v>10782218.970000001</v>
      </c>
    </row>
    <row r="45" spans="1:14">
      <c r="A45" s="55" t="s">
        <v>83</v>
      </c>
      <c r="B45" s="55"/>
      <c r="C45" s="55"/>
      <c r="D45" s="55"/>
      <c r="E45" s="55"/>
      <c r="F45" s="55"/>
      <c r="G45" s="55"/>
      <c r="H45" s="55" t="s">
        <v>29</v>
      </c>
      <c r="I45" s="55"/>
      <c r="J45" s="115"/>
      <c r="K45" s="55"/>
      <c r="L45" s="109">
        <v>752760</v>
      </c>
    </row>
    <row r="46" spans="1:14">
      <c r="A46" s="55"/>
      <c r="B46" s="55"/>
      <c r="C46" s="55"/>
      <c r="D46" s="55"/>
      <c r="E46" s="55"/>
      <c r="F46" s="55"/>
      <c r="G46" s="55"/>
      <c r="H46" s="55"/>
      <c r="I46" s="55"/>
      <c r="J46" s="115"/>
      <c r="K46" s="55"/>
      <c r="L46" s="109">
        <v>902075</v>
      </c>
    </row>
    <row r="47" spans="1:14">
      <c r="A47" s="55"/>
      <c r="B47" s="55"/>
      <c r="C47" s="55"/>
      <c r="D47" s="55"/>
      <c r="E47" s="55"/>
      <c r="F47" s="55"/>
      <c r="G47" s="55"/>
      <c r="H47" s="172"/>
      <c r="I47" s="55"/>
      <c r="J47" s="115"/>
      <c r="K47" s="55"/>
      <c r="L47" s="109">
        <v>1032329.7</v>
      </c>
      <c r="M47" s="109">
        <v>1897753.11</v>
      </c>
    </row>
    <row r="48" spans="1:14">
      <c r="A48" s="55" t="s">
        <v>84</v>
      </c>
      <c r="B48" s="55"/>
      <c r="C48" s="55"/>
      <c r="D48" s="55"/>
      <c r="E48" s="55"/>
      <c r="F48" s="55"/>
      <c r="G48" s="55"/>
      <c r="H48" s="140" t="s">
        <v>194</v>
      </c>
      <c r="I48" s="55"/>
      <c r="J48" s="115"/>
      <c r="K48" s="55"/>
      <c r="L48" s="109">
        <v>504234.65</v>
      </c>
      <c r="M48" s="109">
        <v>8736531.7100000009</v>
      </c>
    </row>
    <row r="49" spans="1:13">
      <c r="A49" s="140" t="s">
        <v>86</v>
      </c>
      <c r="B49" s="55"/>
      <c r="C49" s="55"/>
      <c r="D49" s="55"/>
      <c r="E49" s="55"/>
      <c r="F49" s="55"/>
      <c r="G49" s="55"/>
      <c r="H49" s="140" t="s">
        <v>195</v>
      </c>
      <c r="I49" s="55"/>
      <c r="J49" s="115"/>
      <c r="K49" s="55"/>
      <c r="L49" s="109">
        <v>899145</v>
      </c>
      <c r="M49" s="109">
        <v>10140</v>
      </c>
    </row>
    <row r="50" spans="1:13">
      <c r="A50" s="55"/>
      <c r="B50" s="55"/>
      <c r="C50" s="55"/>
      <c r="D50" s="55"/>
      <c r="E50" s="121"/>
      <c r="F50" s="55"/>
      <c r="G50" s="55"/>
      <c r="H50" s="55"/>
      <c r="I50" s="55"/>
      <c r="J50" s="115"/>
      <c r="K50" s="55"/>
      <c r="L50" s="109">
        <v>1087927.3999999999</v>
      </c>
      <c r="M50" s="109">
        <f>SUM(M47:M49)</f>
        <v>10644424.82</v>
      </c>
    </row>
    <row r="51" spans="1:13">
      <c r="A51" s="55"/>
      <c r="B51" s="55"/>
      <c r="C51" s="55"/>
      <c r="D51" s="55"/>
      <c r="E51" s="115"/>
      <c r="F51" s="55"/>
      <c r="G51" s="55"/>
      <c r="H51" s="55"/>
      <c r="I51" s="115"/>
      <c r="J51" s="115"/>
      <c r="K51" s="55"/>
      <c r="L51" s="109">
        <v>2896515.5</v>
      </c>
    </row>
    <row r="52" spans="1:13">
      <c r="A52" s="55"/>
      <c r="B52" s="55"/>
      <c r="C52" s="55"/>
      <c r="D52" s="55"/>
      <c r="E52" s="55"/>
      <c r="F52" s="55"/>
      <c r="G52" s="55"/>
      <c r="H52" s="55"/>
      <c r="I52" s="115"/>
      <c r="J52" s="115"/>
      <c r="K52" s="55"/>
      <c r="L52" s="109">
        <v>120000</v>
      </c>
    </row>
    <row r="53" spans="1:13">
      <c r="I53" s="109"/>
      <c r="M53" s="46"/>
    </row>
    <row r="54" spans="1:13">
      <c r="F54" s="121">
        <f>F18-F55</f>
        <v>-152158.39675000031</v>
      </c>
      <c r="I54" s="109"/>
      <c r="K54" s="55"/>
      <c r="L54" s="115">
        <v>630000</v>
      </c>
      <c r="M54" s="183">
        <v>10644424.82</v>
      </c>
    </row>
    <row r="55" spans="1:13">
      <c r="F55" s="115">
        <f>49980+103610+255752.8+265335+81917.75+32889+315132+287135.25+143400+640002.5</f>
        <v>2175154.2999999998</v>
      </c>
      <c r="I55" s="109"/>
      <c r="J55" s="109">
        <v>7850000</v>
      </c>
      <c r="L55" s="109">
        <v>1000000</v>
      </c>
      <c r="M55" s="183">
        <v>13157941.960000001</v>
      </c>
    </row>
    <row r="56" spans="1:13">
      <c r="I56" s="109"/>
      <c r="J56" s="109">
        <v>800000</v>
      </c>
      <c r="L56" s="109">
        <v>1300000</v>
      </c>
      <c r="M56" s="184">
        <v>0</v>
      </c>
    </row>
    <row r="57" spans="1:13">
      <c r="I57" s="109"/>
      <c r="J57" s="109">
        <v>1200000</v>
      </c>
      <c r="L57" s="109">
        <v>2000000</v>
      </c>
      <c r="M57" s="183">
        <f>SUM(M54:M56)</f>
        <v>23802366.780000001</v>
      </c>
    </row>
    <row r="58" spans="1:13">
      <c r="I58" s="109"/>
      <c r="J58" s="109">
        <v>3500000</v>
      </c>
      <c r="L58" s="109">
        <v>150000</v>
      </c>
      <c r="M58" s="183">
        <v>24092226.780000001</v>
      </c>
    </row>
    <row r="59" spans="1:13">
      <c r="I59" s="109">
        <v>100000</v>
      </c>
      <c r="J59" s="116">
        <f>SUM(J55:J58)</f>
        <v>13350000</v>
      </c>
      <c r="L59" s="109">
        <v>4590281.96</v>
      </c>
      <c r="M59" s="183">
        <f>M58-M57</f>
        <v>289860</v>
      </c>
    </row>
    <row r="60" spans="1:13">
      <c r="I60" s="109">
        <v>4589687.1100000003</v>
      </c>
      <c r="J60" s="109">
        <v>16829861.079999998</v>
      </c>
      <c r="L60" s="109">
        <f>SUM(L54:L59)</f>
        <v>9670281.9600000009</v>
      </c>
      <c r="M60" s="46"/>
    </row>
    <row r="61" spans="1:13">
      <c r="I61" s="116">
        <f>SUM(I55:I60)</f>
        <v>4689687.1100000003</v>
      </c>
      <c r="J61" s="109">
        <f>J59-J60</f>
        <v>-3479861.0799999982</v>
      </c>
      <c r="M61" s="109">
        <v>24416573.030000001</v>
      </c>
    </row>
    <row r="62" spans="1:13">
      <c r="I62" s="109">
        <v>7212797.6100000003</v>
      </c>
      <c r="M62" s="109">
        <v>24708913.030000001</v>
      </c>
    </row>
    <row r="63" spans="1:13">
      <c r="I63" s="109">
        <f>I61-I62</f>
        <v>-2523110.5</v>
      </c>
      <c r="M63" s="109">
        <f>M61-M62</f>
        <v>-292340</v>
      </c>
    </row>
    <row r="64" spans="1:13">
      <c r="I64" s="109"/>
      <c r="M64" s="109">
        <v>289860</v>
      </c>
    </row>
    <row r="65" spans="1:13">
      <c r="I65" s="109"/>
      <c r="J65" s="109">
        <v>25346381.800000001</v>
      </c>
      <c r="M65" s="173">
        <f>SUM(M63:M64)</f>
        <v>-2480</v>
      </c>
    </row>
    <row r="66" spans="1:13">
      <c r="I66" s="109"/>
      <c r="J66" s="109">
        <v>24042658.690000001</v>
      </c>
      <c r="M66" s="46"/>
    </row>
    <row r="67" spans="1:13">
      <c r="I67" s="109"/>
      <c r="J67" s="109">
        <f>J65-J66</f>
        <v>1303723.1099999994</v>
      </c>
      <c r="L67" s="109">
        <v>400000</v>
      </c>
      <c r="M67" s="46"/>
    </row>
    <row r="68" spans="1:13">
      <c r="I68" s="109"/>
      <c r="L68" s="109">
        <v>1000000</v>
      </c>
      <c r="M68" s="109">
        <v>25279.7</v>
      </c>
    </row>
    <row r="69" spans="1:13">
      <c r="I69" s="109"/>
      <c r="M69" s="109">
        <v>27759.7</v>
      </c>
    </row>
    <row r="70" spans="1:13">
      <c r="H70" s="109"/>
      <c r="I70" s="109"/>
      <c r="M70" s="173">
        <f>M68-M69</f>
        <v>-2480</v>
      </c>
    </row>
    <row r="71" spans="1:13">
      <c r="H71" s="109">
        <v>4455551.57</v>
      </c>
      <c r="I71" s="109"/>
      <c r="J71" s="109">
        <v>17496381.800000001</v>
      </c>
      <c r="M71" s="46"/>
    </row>
    <row r="72" spans="1:13">
      <c r="H72" s="109">
        <v>5760963.6399999997</v>
      </c>
      <c r="I72" s="109"/>
      <c r="J72" s="109">
        <v>7850000</v>
      </c>
      <c r="M72" s="46"/>
    </row>
    <row r="73" spans="1:13">
      <c r="H73" s="109">
        <f>SUM(H71:H72)</f>
        <v>10216515.210000001</v>
      </c>
      <c r="I73" s="109"/>
      <c r="J73" s="109">
        <f>SUM(J71:J72)</f>
        <v>25346381.800000001</v>
      </c>
      <c r="M73" s="46"/>
    </row>
    <row r="74" spans="1:13" s="109" customFormat="1">
      <c r="A74" s="46"/>
      <c r="B74" s="46"/>
      <c r="C74" s="46"/>
      <c r="D74" s="46"/>
      <c r="E74" s="46"/>
      <c r="F74" s="46"/>
      <c r="G74" s="46"/>
    </row>
    <row r="75" spans="1:13" s="109" customFormat="1">
      <c r="A75" s="46"/>
      <c r="B75" s="46"/>
      <c r="C75" s="46"/>
      <c r="D75" s="46"/>
      <c r="E75" s="46"/>
      <c r="F75" s="46"/>
      <c r="G75" s="46"/>
    </row>
    <row r="76" spans="1:13" s="109" customFormat="1">
      <c r="A76" s="46"/>
      <c r="B76" s="46"/>
      <c r="C76" s="46"/>
      <c r="D76" s="46"/>
      <c r="E76" s="46"/>
      <c r="F76" s="46"/>
      <c r="G76" s="46"/>
    </row>
    <row r="77" spans="1:13" s="109" customFormat="1">
      <c r="A77" s="46"/>
      <c r="B77" s="46"/>
      <c r="C77" s="46"/>
      <c r="D77" s="46"/>
      <c r="E77" s="46"/>
      <c r="F77" s="46"/>
      <c r="G77" s="46"/>
    </row>
    <row r="78" spans="1:13" s="109" customFormat="1">
      <c r="A78" s="46"/>
      <c r="B78" s="46"/>
      <c r="C78" s="46"/>
      <c r="D78" s="46"/>
      <c r="E78" s="46"/>
      <c r="F78" s="46"/>
      <c r="G78" s="46"/>
    </row>
    <row r="79" spans="1:13" s="109" customFormat="1">
      <c r="A79" s="46"/>
      <c r="B79" s="46"/>
      <c r="C79" s="46"/>
      <c r="D79" s="46"/>
      <c r="E79" s="46"/>
      <c r="F79" s="46"/>
      <c r="G79" s="46"/>
    </row>
    <row r="80" spans="1:13" s="109" customFormat="1">
      <c r="A80" s="46"/>
      <c r="B80" s="46"/>
      <c r="C80" s="46"/>
      <c r="D80" s="46"/>
      <c r="E80" s="46"/>
      <c r="F80" s="46"/>
      <c r="G80" s="46"/>
      <c r="H80" s="46"/>
    </row>
    <row r="81" spans="1:11" s="109" customFormat="1">
      <c r="A81" s="46"/>
      <c r="B81" s="46"/>
      <c r="C81" s="46"/>
      <c r="D81" s="46"/>
      <c r="E81" s="46"/>
      <c r="F81" s="46"/>
      <c r="G81" s="46"/>
      <c r="H81" s="46"/>
    </row>
    <row r="82" spans="1:11" s="109" customFormat="1">
      <c r="A82" s="46"/>
      <c r="B82" s="46"/>
      <c r="C82" s="46"/>
      <c r="D82" s="46"/>
      <c r="E82" s="46"/>
      <c r="F82" s="46"/>
      <c r="G82" s="46"/>
      <c r="H82" s="46"/>
    </row>
    <row r="83" spans="1:11" s="109" customFormat="1">
      <c r="A83" s="46"/>
      <c r="B83" s="46"/>
      <c r="C83" s="46"/>
      <c r="D83" s="46"/>
      <c r="E83" s="46"/>
      <c r="F83" s="46"/>
      <c r="G83" s="46"/>
      <c r="H83" s="46"/>
    </row>
    <row r="84" spans="1:11" s="109" customFormat="1">
      <c r="A84" s="46"/>
      <c r="B84" s="46"/>
      <c r="C84" s="46"/>
      <c r="D84" s="46"/>
      <c r="E84" s="46"/>
      <c r="F84" s="46"/>
      <c r="G84" s="46"/>
      <c r="H84" s="46"/>
      <c r="K84" s="46"/>
    </row>
    <row r="85" spans="1:11" s="109" customFormat="1">
      <c r="A85" s="46"/>
      <c r="B85" s="46"/>
      <c r="C85" s="46"/>
      <c r="D85" s="46"/>
      <c r="E85" s="46"/>
      <c r="F85" s="46"/>
      <c r="G85" s="46"/>
      <c r="H85" s="46"/>
      <c r="K85" s="46"/>
    </row>
    <row r="86" spans="1:11" s="109" customFormat="1">
      <c r="A86" s="46"/>
      <c r="B86" s="46"/>
      <c r="C86" s="46"/>
      <c r="D86" s="46"/>
      <c r="E86" s="46"/>
      <c r="F86" s="46"/>
      <c r="G86" s="46"/>
      <c r="H86" s="46"/>
      <c r="K86" s="46"/>
    </row>
    <row r="87" spans="1:11" s="109" customFormat="1">
      <c r="A87" s="46"/>
      <c r="B87" s="46"/>
      <c r="C87" s="46"/>
      <c r="D87" s="46"/>
      <c r="E87" s="46"/>
      <c r="F87" s="46"/>
      <c r="G87" s="46"/>
      <c r="H87" s="46"/>
      <c r="K87" s="46"/>
    </row>
    <row r="88" spans="1:11" s="109" customFormat="1">
      <c r="A88" s="46"/>
      <c r="B88" s="46"/>
      <c r="C88" s="46"/>
      <c r="D88" s="46"/>
      <c r="E88" s="46"/>
      <c r="F88" s="46"/>
      <c r="G88" s="46"/>
      <c r="H88" s="46"/>
      <c r="K88" s="46"/>
    </row>
    <row r="89" spans="1:11" s="109" customFormat="1">
      <c r="A89" s="46"/>
      <c r="B89" s="46"/>
      <c r="C89" s="46"/>
      <c r="D89" s="46"/>
      <c r="E89" s="46"/>
      <c r="F89" s="46"/>
      <c r="G89" s="46"/>
      <c r="H89" s="46"/>
      <c r="K89" s="46"/>
    </row>
    <row r="90" spans="1:11" s="109" customFormat="1">
      <c r="A90" s="46"/>
      <c r="B90" s="46"/>
      <c r="C90" s="46"/>
      <c r="D90" s="46"/>
      <c r="E90" s="46"/>
      <c r="F90" s="46"/>
      <c r="G90" s="46"/>
      <c r="H90" s="46"/>
      <c r="K90" s="46"/>
    </row>
    <row r="91" spans="1:11" s="109" customFormat="1">
      <c r="A91" s="46"/>
      <c r="B91" s="46"/>
      <c r="C91" s="46"/>
      <c r="D91" s="46"/>
      <c r="E91" s="46"/>
      <c r="F91" s="46"/>
      <c r="G91" s="46"/>
      <c r="H91" s="46"/>
      <c r="K91" s="46"/>
    </row>
    <row r="92" spans="1:11" s="109" customFormat="1">
      <c r="A92" s="46"/>
      <c r="B92" s="46"/>
      <c r="C92" s="46"/>
      <c r="D92" s="46"/>
      <c r="E92" s="46"/>
      <c r="F92" s="46"/>
      <c r="G92" s="46"/>
      <c r="H92" s="46"/>
      <c r="K92" s="46"/>
    </row>
    <row r="93" spans="1:11" s="109" customFormat="1">
      <c r="A93" s="46"/>
      <c r="B93" s="46"/>
      <c r="C93" s="46"/>
      <c r="D93" s="46"/>
      <c r="E93" s="46"/>
      <c r="F93" s="46"/>
      <c r="G93" s="46"/>
      <c r="H93" s="46"/>
      <c r="K93" s="46"/>
    </row>
    <row r="94" spans="1:11" s="109" customFormat="1">
      <c r="A94" s="46"/>
      <c r="B94" s="46"/>
      <c r="C94" s="46"/>
      <c r="D94" s="46"/>
      <c r="E94" s="46"/>
      <c r="F94" s="46"/>
      <c r="G94" s="46"/>
      <c r="H94" s="46"/>
      <c r="K94" s="46"/>
    </row>
    <row r="95" spans="1:11" s="109" customFormat="1">
      <c r="A95" s="46"/>
      <c r="B95" s="46"/>
      <c r="C95" s="46"/>
      <c r="D95" s="46"/>
      <c r="E95" s="46"/>
      <c r="F95" s="46"/>
      <c r="G95" s="46"/>
      <c r="H95" s="46"/>
      <c r="K95" s="46"/>
    </row>
    <row r="96" spans="1:11" s="109" customFormat="1">
      <c r="A96" s="46"/>
      <c r="B96" s="46"/>
      <c r="C96" s="46"/>
      <c r="D96" s="46"/>
      <c r="E96" s="46"/>
      <c r="F96" s="46"/>
      <c r="G96" s="46"/>
      <c r="H96" s="46"/>
      <c r="K96" s="46"/>
    </row>
    <row r="97" spans="1:11" s="109" customFormat="1">
      <c r="A97" s="46"/>
      <c r="B97" s="46"/>
      <c r="C97" s="46"/>
      <c r="D97" s="46"/>
      <c r="E97" s="46"/>
      <c r="F97" s="46"/>
      <c r="G97" s="46"/>
      <c r="H97" s="46"/>
      <c r="K97" s="46"/>
    </row>
    <row r="98" spans="1:11" s="109" customFormat="1">
      <c r="A98" s="46"/>
      <c r="B98" s="46"/>
      <c r="C98" s="46"/>
      <c r="D98" s="46"/>
      <c r="E98" s="46"/>
      <c r="F98" s="46"/>
      <c r="G98" s="46"/>
      <c r="H98" s="46"/>
      <c r="K98" s="46"/>
    </row>
    <row r="99" spans="1:11" s="109" customFormat="1">
      <c r="A99" s="46"/>
      <c r="B99" s="46"/>
      <c r="C99" s="46"/>
      <c r="D99" s="46"/>
      <c r="E99" s="46"/>
      <c r="F99" s="46"/>
      <c r="G99" s="46"/>
      <c r="H99" s="46"/>
      <c r="K99" s="46"/>
    </row>
    <row r="100" spans="1:11" s="109" customFormat="1">
      <c r="A100" s="46"/>
      <c r="B100" s="46"/>
      <c r="C100" s="46"/>
      <c r="D100" s="46"/>
      <c r="E100" s="46"/>
      <c r="F100" s="46"/>
      <c r="G100" s="46"/>
      <c r="H100" s="46"/>
      <c r="K100" s="46"/>
    </row>
    <row r="101" spans="1:11" s="109" customFormat="1">
      <c r="A101" s="46"/>
      <c r="B101" s="46"/>
      <c r="C101" s="46"/>
      <c r="D101" s="46"/>
      <c r="E101" s="46"/>
      <c r="F101" s="46"/>
      <c r="G101" s="46"/>
      <c r="H101" s="46"/>
      <c r="K101" s="46"/>
    </row>
    <row r="102" spans="1:11" s="109" customFormat="1">
      <c r="A102" s="46"/>
      <c r="B102" s="46"/>
      <c r="C102" s="46"/>
      <c r="D102" s="46"/>
      <c r="E102" s="46"/>
      <c r="F102" s="46"/>
      <c r="G102" s="46"/>
      <c r="H102" s="46"/>
      <c r="K102" s="46"/>
    </row>
    <row r="103" spans="1:11" s="109" customFormat="1">
      <c r="A103" s="46"/>
      <c r="B103" s="46"/>
      <c r="C103" s="46"/>
      <c r="D103" s="46"/>
      <c r="E103" s="46"/>
      <c r="F103" s="46"/>
      <c r="G103" s="46"/>
      <c r="H103" s="46"/>
      <c r="K103" s="46"/>
    </row>
    <row r="104" spans="1:11" s="109" customFormat="1">
      <c r="A104" s="46"/>
      <c r="B104" s="46"/>
      <c r="C104" s="46"/>
      <c r="D104" s="46"/>
      <c r="E104" s="46"/>
      <c r="F104" s="46"/>
      <c r="G104" s="46"/>
      <c r="H104" s="46"/>
      <c r="K104" s="46"/>
    </row>
    <row r="105" spans="1:11" s="109" customFormat="1">
      <c r="A105" s="46"/>
      <c r="B105" s="46"/>
      <c r="C105" s="46"/>
      <c r="D105" s="46"/>
      <c r="E105" s="46"/>
      <c r="F105" s="46"/>
      <c r="G105" s="46"/>
      <c r="H105" s="46"/>
      <c r="K105" s="46"/>
    </row>
    <row r="106" spans="1:11" s="109" customFormat="1">
      <c r="A106" s="46"/>
      <c r="B106" s="46"/>
      <c r="C106" s="46"/>
      <c r="D106" s="46"/>
      <c r="E106" s="46"/>
      <c r="F106" s="46"/>
      <c r="G106" s="46"/>
      <c r="H106" s="46"/>
      <c r="K106" s="46"/>
    </row>
    <row r="107" spans="1:11" s="109" customFormat="1">
      <c r="A107" s="46"/>
      <c r="B107" s="46"/>
      <c r="C107" s="46"/>
      <c r="D107" s="46"/>
      <c r="E107" s="46"/>
      <c r="F107" s="46"/>
      <c r="G107" s="46"/>
      <c r="H107" s="46"/>
      <c r="K107" s="46"/>
    </row>
    <row r="108" spans="1:11" s="109" customFormat="1">
      <c r="A108" s="46"/>
      <c r="B108" s="46"/>
      <c r="C108" s="46"/>
      <c r="D108" s="46"/>
      <c r="E108" s="46"/>
      <c r="F108" s="46"/>
      <c r="G108" s="46"/>
      <c r="H108" s="46"/>
      <c r="K108" s="46"/>
    </row>
    <row r="109" spans="1:11" s="109" customFormat="1">
      <c r="A109" s="46"/>
      <c r="B109" s="46"/>
      <c r="C109" s="46"/>
      <c r="D109" s="46"/>
      <c r="E109" s="46"/>
      <c r="F109" s="46"/>
      <c r="G109" s="46"/>
      <c r="H109" s="46"/>
      <c r="K109" s="46"/>
    </row>
    <row r="110" spans="1:11" s="109" customFormat="1">
      <c r="A110" s="46"/>
      <c r="B110" s="46"/>
      <c r="C110" s="46"/>
      <c r="D110" s="46"/>
      <c r="E110" s="46"/>
      <c r="F110" s="46"/>
      <c r="G110" s="46"/>
      <c r="H110" s="46"/>
      <c r="K110" s="46"/>
    </row>
    <row r="111" spans="1:11" s="109" customFormat="1">
      <c r="A111" s="46"/>
      <c r="B111" s="46"/>
      <c r="C111" s="46"/>
      <c r="D111" s="46"/>
      <c r="E111" s="46"/>
      <c r="F111" s="46"/>
      <c r="G111" s="46"/>
      <c r="H111" s="46"/>
      <c r="K111" s="46"/>
    </row>
    <row r="112" spans="1:11" s="109" customFormat="1">
      <c r="A112" s="46"/>
      <c r="B112" s="46"/>
      <c r="C112" s="46"/>
      <c r="D112" s="46"/>
      <c r="E112" s="46"/>
      <c r="F112" s="46"/>
      <c r="G112" s="46"/>
      <c r="H112" s="46"/>
      <c r="K112" s="46"/>
    </row>
    <row r="113" spans="1:11" s="109" customFormat="1">
      <c r="A113" s="46"/>
      <c r="B113" s="46"/>
      <c r="C113" s="46"/>
      <c r="D113" s="46"/>
      <c r="E113" s="46"/>
      <c r="F113" s="46"/>
      <c r="G113" s="46"/>
      <c r="H113" s="46"/>
      <c r="K113" s="46"/>
    </row>
    <row r="114" spans="1:11" s="109" customFormat="1">
      <c r="A114" s="46"/>
      <c r="B114" s="46"/>
      <c r="C114" s="46"/>
      <c r="D114" s="46"/>
      <c r="E114" s="46"/>
      <c r="F114" s="46"/>
      <c r="G114" s="46"/>
      <c r="H114" s="46"/>
      <c r="K114" s="46"/>
    </row>
    <row r="115" spans="1:11" s="109" customFormat="1">
      <c r="A115" s="46"/>
      <c r="B115" s="46"/>
      <c r="C115" s="46"/>
      <c r="D115" s="46"/>
      <c r="E115" s="46"/>
      <c r="F115" s="46"/>
      <c r="G115" s="46"/>
      <c r="H115" s="46"/>
      <c r="K115" s="46"/>
    </row>
    <row r="116" spans="1:11" s="109" customFormat="1">
      <c r="A116" s="46"/>
      <c r="B116" s="46"/>
      <c r="C116" s="46"/>
      <c r="D116" s="46"/>
      <c r="E116" s="46"/>
      <c r="F116" s="46"/>
      <c r="G116" s="46"/>
      <c r="H116" s="46"/>
      <c r="K116" s="46"/>
    </row>
    <row r="117" spans="1:11" s="109" customFormat="1">
      <c r="A117" s="46"/>
      <c r="B117" s="46"/>
      <c r="C117" s="46"/>
      <c r="D117" s="46"/>
      <c r="E117" s="46"/>
      <c r="F117" s="46"/>
      <c r="G117" s="46"/>
      <c r="H117" s="46"/>
      <c r="K117" s="46"/>
    </row>
    <row r="118" spans="1:11" s="109" customFormat="1">
      <c r="A118" s="46"/>
      <c r="B118" s="46"/>
      <c r="C118" s="46"/>
      <c r="D118" s="46"/>
      <c r="E118" s="46"/>
      <c r="F118" s="46"/>
      <c r="G118" s="46"/>
      <c r="H118" s="46"/>
      <c r="K118" s="46"/>
    </row>
    <row r="119" spans="1:11" s="109" customFormat="1">
      <c r="A119" s="46"/>
      <c r="B119" s="46"/>
      <c r="C119" s="46"/>
      <c r="D119" s="46"/>
      <c r="E119" s="46"/>
      <c r="F119" s="46"/>
      <c r="G119" s="46"/>
      <c r="H119" s="46"/>
      <c r="K119" s="46"/>
    </row>
    <row r="120" spans="1:11" s="109" customFormat="1">
      <c r="A120" s="46"/>
      <c r="B120" s="46"/>
      <c r="C120" s="46"/>
      <c r="D120" s="46"/>
      <c r="E120" s="46"/>
      <c r="F120" s="46"/>
      <c r="G120" s="46"/>
      <c r="H120" s="46"/>
      <c r="K120" s="46"/>
    </row>
    <row r="121" spans="1:11" s="109" customFormat="1">
      <c r="A121" s="46"/>
      <c r="B121" s="46"/>
      <c r="C121" s="46"/>
      <c r="D121" s="46"/>
      <c r="E121" s="46"/>
      <c r="F121" s="46"/>
      <c r="G121" s="46"/>
      <c r="H121" s="46"/>
      <c r="K121" s="46"/>
    </row>
    <row r="122" spans="1:11" s="109" customFormat="1">
      <c r="A122" s="46"/>
      <c r="B122" s="46"/>
      <c r="C122" s="46"/>
      <c r="D122" s="46"/>
      <c r="E122" s="46"/>
      <c r="F122" s="46"/>
      <c r="G122" s="46"/>
      <c r="H122" s="46"/>
      <c r="K122" s="46"/>
    </row>
    <row r="123" spans="1:11" s="109" customFormat="1">
      <c r="A123" s="46"/>
      <c r="B123" s="46"/>
      <c r="C123" s="46"/>
      <c r="D123" s="46"/>
      <c r="E123" s="46"/>
      <c r="F123" s="46"/>
      <c r="G123" s="46"/>
      <c r="H123" s="46"/>
      <c r="K123" s="46"/>
    </row>
    <row r="124" spans="1:11" s="109" customFormat="1">
      <c r="A124" s="46"/>
      <c r="B124" s="46"/>
      <c r="C124" s="46"/>
      <c r="D124" s="46"/>
      <c r="E124" s="46"/>
      <c r="F124" s="46"/>
      <c r="G124" s="46"/>
      <c r="H124" s="46"/>
      <c r="K124" s="46"/>
    </row>
    <row r="125" spans="1:11" s="109" customFormat="1">
      <c r="A125" s="46"/>
      <c r="B125" s="46"/>
      <c r="C125" s="46"/>
      <c r="D125" s="46"/>
      <c r="E125" s="46"/>
      <c r="F125" s="46"/>
      <c r="G125" s="46"/>
      <c r="H125" s="46"/>
      <c r="K125" s="46"/>
    </row>
    <row r="126" spans="1:11" s="109" customFormat="1">
      <c r="A126" s="46"/>
      <c r="B126" s="46"/>
      <c r="C126" s="46"/>
      <c r="D126" s="46"/>
      <c r="E126" s="46"/>
      <c r="F126" s="46"/>
      <c r="G126" s="46"/>
      <c r="H126" s="46"/>
      <c r="K126" s="46"/>
    </row>
    <row r="127" spans="1:11" s="109" customFormat="1">
      <c r="A127" s="46"/>
      <c r="B127" s="46"/>
      <c r="C127" s="46"/>
      <c r="D127" s="46"/>
      <c r="E127" s="46"/>
      <c r="F127" s="46"/>
      <c r="G127" s="46"/>
      <c r="H127" s="46"/>
      <c r="K127" s="46"/>
    </row>
    <row r="128" spans="1:11" s="109" customFormat="1">
      <c r="A128" s="46"/>
      <c r="B128" s="46"/>
      <c r="C128" s="46"/>
      <c r="D128" s="46"/>
      <c r="E128" s="46"/>
      <c r="F128" s="46"/>
      <c r="G128" s="46"/>
      <c r="H128" s="46"/>
      <c r="K128" s="46"/>
    </row>
    <row r="129" spans="1:11" s="109" customFormat="1">
      <c r="A129" s="46"/>
      <c r="B129" s="46"/>
      <c r="C129" s="46"/>
      <c r="D129" s="46"/>
      <c r="E129" s="46"/>
      <c r="F129" s="46"/>
      <c r="G129" s="46"/>
      <c r="H129" s="46"/>
      <c r="K129" s="46"/>
    </row>
    <row r="130" spans="1:11" s="109" customFormat="1">
      <c r="A130" s="46"/>
      <c r="B130" s="46"/>
      <c r="C130" s="46"/>
      <c r="D130" s="46"/>
      <c r="E130" s="46"/>
      <c r="F130" s="46"/>
      <c r="G130" s="46"/>
      <c r="H130" s="46"/>
      <c r="K130" s="46"/>
    </row>
    <row r="131" spans="1:11" s="109" customFormat="1">
      <c r="A131" s="46"/>
      <c r="B131" s="46"/>
      <c r="C131" s="46"/>
      <c r="D131" s="46"/>
      <c r="E131" s="46"/>
      <c r="F131" s="46"/>
      <c r="G131" s="46"/>
      <c r="H131" s="46"/>
      <c r="K131" s="46"/>
    </row>
    <row r="132" spans="1:11" s="109" customFormat="1">
      <c r="A132" s="46"/>
      <c r="B132" s="46"/>
      <c r="C132" s="46"/>
      <c r="D132" s="46"/>
      <c r="E132" s="46"/>
      <c r="F132" s="46"/>
      <c r="G132" s="46"/>
      <c r="H132" s="46"/>
      <c r="K132" s="46"/>
    </row>
    <row r="133" spans="1:11" s="109" customFormat="1">
      <c r="A133" s="46"/>
      <c r="B133" s="46"/>
      <c r="C133" s="46"/>
      <c r="D133" s="46"/>
      <c r="E133" s="46"/>
      <c r="F133" s="46"/>
      <c r="G133" s="46"/>
      <c r="H133" s="46"/>
      <c r="K133" s="46"/>
    </row>
    <row r="134" spans="1:11" s="109" customFormat="1">
      <c r="A134" s="46"/>
      <c r="B134" s="46"/>
      <c r="C134" s="46"/>
      <c r="D134" s="46"/>
      <c r="E134" s="46"/>
      <c r="F134" s="46"/>
      <c r="G134" s="46"/>
      <c r="H134" s="46"/>
      <c r="K134" s="46"/>
    </row>
    <row r="135" spans="1:11" s="109" customFormat="1">
      <c r="A135" s="46"/>
      <c r="B135" s="46"/>
      <c r="C135" s="46"/>
      <c r="D135" s="46"/>
      <c r="E135" s="46"/>
      <c r="F135" s="46"/>
      <c r="G135" s="46"/>
      <c r="H135" s="46"/>
      <c r="K135" s="46"/>
    </row>
    <row r="136" spans="1:11" s="109" customFormat="1">
      <c r="A136" s="46"/>
      <c r="B136" s="46"/>
      <c r="C136" s="46"/>
      <c r="D136" s="46"/>
      <c r="E136" s="46"/>
      <c r="F136" s="46"/>
      <c r="G136" s="46"/>
      <c r="H136" s="46"/>
      <c r="K136" s="46"/>
    </row>
    <row r="137" spans="1:11" s="109" customFormat="1">
      <c r="A137" s="46"/>
      <c r="B137" s="46"/>
      <c r="C137" s="46"/>
      <c r="D137" s="46"/>
      <c r="E137" s="46"/>
      <c r="F137" s="46"/>
      <c r="G137" s="46"/>
      <c r="H137" s="46"/>
      <c r="K137" s="46"/>
    </row>
    <row r="138" spans="1:11" s="109" customFormat="1">
      <c r="A138" s="46"/>
      <c r="B138" s="46"/>
      <c r="C138" s="46"/>
      <c r="D138" s="46"/>
      <c r="E138" s="46"/>
      <c r="F138" s="46"/>
      <c r="G138" s="46"/>
      <c r="H138" s="46"/>
      <c r="K138" s="46"/>
    </row>
    <row r="139" spans="1:11" s="109" customFormat="1">
      <c r="A139" s="46"/>
      <c r="B139" s="46"/>
      <c r="C139" s="46"/>
      <c r="D139" s="46"/>
      <c r="E139" s="46"/>
      <c r="F139" s="46"/>
      <c r="G139" s="46"/>
      <c r="H139" s="46"/>
      <c r="K139" s="46"/>
    </row>
    <row r="140" spans="1:11" s="109" customFormat="1">
      <c r="A140" s="46"/>
      <c r="B140" s="46"/>
      <c r="C140" s="46"/>
      <c r="D140" s="46"/>
      <c r="E140" s="46"/>
      <c r="F140" s="46"/>
      <c r="G140" s="46"/>
      <c r="H140" s="46"/>
      <c r="K140" s="46"/>
    </row>
    <row r="141" spans="1:11" s="109" customFormat="1">
      <c r="A141" s="46"/>
      <c r="B141" s="46"/>
      <c r="C141" s="46"/>
      <c r="D141" s="46"/>
      <c r="E141" s="46"/>
      <c r="F141" s="46"/>
      <c r="G141" s="46"/>
      <c r="H141" s="46"/>
      <c r="K141" s="46"/>
    </row>
    <row r="142" spans="1:11" s="109" customFormat="1">
      <c r="A142" s="46"/>
      <c r="B142" s="46"/>
      <c r="C142" s="46"/>
      <c r="D142" s="46"/>
      <c r="E142" s="46"/>
      <c r="F142" s="46"/>
      <c r="G142" s="46"/>
      <c r="H142" s="46"/>
      <c r="K142" s="46"/>
    </row>
    <row r="143" spans="1:11" s="109" customFormat="1">
      <c r="A143" s="46"/>
      <c r="B143" s="46"/>
      <c r="C143" s="46"/>
      <c r="D143" s="46"/>
      <c r="E143" s="46"/>
      <c r="F143" s="46"/>
      <c r="G143" s="46"/>
      <c r="H143" s="46"/>
      <c r="K143" s="46"/>
    </row>
    <row r="144" spans="1:11" s="109" customFormat="1">
      <c r="A144" s="46"/>
      <c r="B144" s="46"/>
      <c r="C144" s="46"/>
      <c r="D144" s="46"/>
      <c r="E144" s="46"/>
      <c r="F144" s="46"/>
      <c r="G144" s="46"/>
      <c r="H144" s="46"/>
      <c r="K144" s="46"/>
    </row>
    <row r="145" spans="1:11" s="109" customFormat="1">
      <c r="A145" s="46"/>
      <c r="B145" s="46"/>
      <c r="C145" s="46"/>
      <c r="D145" s="46"/>
      <c r="E145" s="46"/>
      <c r="F145" s="46"/>
      <c r="G145" s="46"/>
      <c r="H145" s="46"/>
      <c r="K145" s="46"/>
    </row>
    <row r="146" spans="1:11" s="109" customFormat="1">
      <c r="A146" s="46"/>
      <c r="B146" s="46"/>
      <c r="C146" s="46"/>
      <c r="D146" s="46"/>
      <c r="E146" s="46"/>
      <c r="F146" s="46"/>
      <c r="G146" s="46"/>
      <c r="H146" s="46"/>
      <c r="K146" s="46"/>
    </row>
    <row r="147" spans="1:11" s="109" customFormat="1">
      <c r="A147" s="46"/>
      <c r="B147" s="46"/>
      <c r="C147" s="46"/>
      <c r="D147" s="46"/>
      <c r="E147" s="46"/>
      <c r="F147" s="46"/>
      <c r="G147" s="46"/>
      <c r="H147" s="46"/>
      <c r="K147" s="46"/>
    </row>
    <row r="148" spans="1:11" s="109" customFormat="1">
      <c r="A148" s="46"/>
      <c r="B148" s="46"/>
      <c r="C148" s="46"/>
      <c r="D148" s="46"/>
      <c r="E148" s="46"/>
      <c r="F148" s="46"/>
      <c r="G148" s="46"/>
      <c r="H148" s="46"/>
      <c r="K148" s="46"/>
    </row>
    <row r="149" spans="1:11" s="109" customFormat="1">
      <c r="A149" s="46"/>
      <c r="B149" s="46"/>
      <c r="C149" s="46"/>
      <c r="D149" s="46"/>
      <c r="E149" s="46"/>
      <c r="F149" s="46"/>
      <c r="G149" s="46"/>
      <c r="H149" s="46"/>
      <c r="K149" s="46"/>
    </row>
    <row r="150" spans="1:11" s="109" customFormat="1">
      <c r="A150" s="46"/>
      <c r="B150" s="46"/>
      <c r="C150" s="46"/>
      <c r="D150" s="46"/>
      <c r="E150" s="46"/>
      <c r="F150" s="46"/>
      <c r="G150" s="46"/>
      <c r="H150" s="46"/>
      <c r="K150" s="46"/>
    </row>
    <row r="151" spans="1:11" s="109" customFormat="1">
      <c r="A151" s="46"/>
      <c r="B151" s="46"/>
      <c r="C151" s="46"/>
      <c r="D151" s="46"/>
      <c r="E151" s="46"/>
      <c r="F151" s="46"/>
      <c r="G151" s="46"/>
      <c r="H151" s="46"/>
      <c r="K151" s="46"/>
    </row>
    <row r="152" spans="1:11" s="109" customFormat="1">
      <c r="A152" s="46"/>
      <c r="B152" s="46"/>
      <c r="C152" s="46"/>
      <c r="D152" s="46"/>
      <c r="E152" s="46"/>
      <c r="F152" s="46"/>
      <c r="G152" s="46"/>
      <c r="H152" s="46"/>
      <c r="K152" s="46"/>
    </row>
    <row r="153" spans="1:11" s="109" customFormat="1">
      <c r="A153" s="46"/>
      <c r="B153" s="46"/>
      <c r="C153" s="46"/>
      <c r="D153" s="46"/>
      <c r="E153" s="46"/>
      <c r="F153" s="46"/>
      <c r="G153" s="46"/>
      <c r="H153" s="46"/>
      <c r="K153" s="46"/>
    </row>
    <row r="154" spans="1:11" s="109" customFormat="1">
      <c r="A154" s="46"/>
      <c r="B154" s="46"/>
      <c r="C154" s="46"/>
      <c r="D154" s="46"/>
      <c r="E154" s="46"/>
      <c r="F154" s="46"/>
      <c r="G154" s="46"/>
      <c r="H154" s="46"/>
      <c r="K154" s="46"/>
    </row>
    <row r="155" spans="1:11" s="109" customFormat="1">
      <c r="A155" s="46"/>
      <c r="B155" s="46"/>
      <c r="C155" s="46"/>
      <c r="D155" s="46"/>
      <c r="E155" s="46"/>
      <c r="F155" s="46"/>
      <c r="G155" s="46"/>
      <c r="H155" s="46"/>
      <c r="K155" s="46"/>
    </row>
    <row r="156" spans="1:11" s="109" customFormat="1">
      <c r="A156" s="46"/>
      <c r="B156" s="46"/>
      <c r="C156" s="46"/>
      <c r="D156" s="46"/>
      <c r="E156" s="46"/>
      <c r="F156" s="46"/>
      <c r="G156" s="46"/>
      <c r="H156" s="46"/>
      <c r="K156" s="46"/>
    </row>
    <row r="157" spans="1:11" s="109" customFormat="1">
      <c r="A157" s="46"/>
      <c r="B157" s="46"/>
      <c r="C157" s="46"/>
      <c r="D157" s="46"/>
      <c r="E157" s="46"/>
      <c r="F157" s="46"/>
      <c r="G157" s="46"/>
      <c r="H157" s="46"/>
      <c r="K157" s="46"/>
    </row>
    <row r="158" spans="1:11" s="109" customFormat="1">
      <c r="A158" s="46"/>
      <c r="B158" s="46"/>
      <c r="C158" s="46"/>
      <c r="D158" s="46"/>
      <c r="E158" s="46"/>
      <c r="F158" s="46"/>
      <c r="G158" s="46"/>
      <c r="H158" s="46"/>
      <c r="K158" s="46"/>
    </row>
    <row r="159" spans="1:11" s="109" customFormat="1">
      <c r="A159" s="46"/>
      <c r="B159" s="46"/>
      <c r="C159" s="46"/>
      <c r="D159" s="46"/>
      <c r="E159" s="46"/>
      <c r="F159" s="46"/>
      <c r="G159" s="46"/>
      <c r="H159" s="46"/>
      <c r="K159" s="46"/>
    </row>
    <row r="160" spans="1:11" s="109" customFormat="1">
      <c r="A160" s="46"/>
      <c r="B160" s="46"/>
      <c r="C160" s="46"/>
      <c r="D160" s="46"/>
      <c r="E160" s="46"/>
      <c r="F160" s="46"/>
      <c r="G160" s="46"/>
      <c r="H160" s="46"/>
      <c r="K160" s="46"/>
    </row>
    <row r="161" spans="1:11" s="109" customFormat="1">
      <c r="A161" s="46"/>
      <c r="B161" s="46"/>
      <c r="C161" s="46"/>
      <c r="D161" s="46"/>
      <c r="E161" s="46"/>
      <c r="F161" s="46"/>
      <c r="G161" s="46"/>
      <c r="H161" s="46"/>
      <c r="K161" s="46"/>
    </row>
    <row r="162" spans="1:11" s="109" customFormat="1">
      <c r="A162" s="46"/>
      <c r="B162" s="46"/>
      <c r="C162" s="46"/>
      <c r="D162" s="46"/>
      <c r="E162" s="46"/>
      <c r="F162" s="46"/>
      <c r="G162" s="46"/>
      <c r="H162" s="46"/>
      <c r="K162" s="46"/>
    </row>
    <row r="163" spans="1:11" s="109" customFormat="1">
      <c r="A163" s="46"/>
      <c r="B163" s="46"/>
      <c r="C163" s="46"/>
      <c r="D163" s="46"/>
      <c r="E163" s="46"/>
      <c r="F163" s="46"/>
      <c r="G163" s="46"/>
      <c r="H163" s="46"/>
      <c r="K163" s="46"/>
    </row>
    <row r="164" spans="1:11" s="109" customFormat="1">
      <c r="A164" s="46"/>
      <c r="B164" s="46"/>
      <c r="C164" s="46"/>
      <c r="D164" s="46"/>
      <c r="E164" s="46"/>
      <c r="F164" s="46"/>
      <c r="G164" s="46"/>
      <c r="H164" s="46"/>
      <c r="K164" s="46"/>
    </row>
    <row r="165" spans="1:11" s="109" customFormat="1">
      <c r="A165" s="46"/>
      <c r="B165" s="46"/>
      <c r="C165" s="46"/>
      <c r="D165" s="46"/>
      <c r="E165" s="46"/>
      <c r="F165" s="46"/>
      <c r="G165" s="46"/>
      <c r="H165" s="46"/>
      <c r="K165" s="46"/>
    </row>
    <row r="166" spans="1:11" s="109" customFormat="1">
      <c r="A166" s="46"/>
      <c r="B166" s="46"/>
      <c r="C166" s="46"/>
      <c r="D166" s="46"/>
      <c r="E166" s="46"/>
      <c r="F166" s="46"/>
      <c r="G166" s="46"/>
      <c r="H166" s="46"/>
      <c r="K166" s="46"/>
    </row>
    <row r="167" spans="1:11" s="109" customFormat="1">
      <c r="A167" s="46"/>
      <c r="B167" s="46"/>
      <c r="C167" s="46"/>
      <c r="D167" s="46"/>
      <c r="E167" s="46"/>
      <c r="F167" s="46"/>
      <c r="G167" s="46"/>
      <c r="H167" s="46"/>
      <c r="K167" s="46"/>
    </row>
    <row r="168" spans="1:11" s="109" customFormat="1">
      <c r="A168" s="46"/>
      <c r="B168" s="46"/>
      <c r="C168" s="46"/>
      <c r="D168" s="46"/>
      <c r="E168" s="46"/>
      <c r="F168" s="46"/>
      <c r="G168" s="46"/>
      <c r="H168" s="46"/>
      <c r="K168" s="46"/>
    </row>
    <row r="169" spans="1:11" s="109" customFormat="1">
      <c r="A169" s="46"/>
      <c r="B169" s="46"/>
      <c r="C169" s="46"/>
      <c r="D169" s="46"/>
      <c r="E169" s="46"/>
      <c r="F169" s="46"/>
      <c r="G169" s="46"/>
      <c r="H169" s="46"/>
      <c r="K169" s="46"/>
    </row>
    <row r="170" spans="1:11" s="109" customFormat="1">
      <c r="A170" s="46"/>
      <c r="B170" s="46"/>
      <c r="C170" s="46"/>
      <c r="D170" s="46"/>
      <c r="E170" s="46"/>
      <c r="F170" s="46"/>
      <c r="G170" s="46"/>
      <c r="H170" s="46"/>
      <c r="K170" s="46"/>
    </row>
    <row r="171" spans="1:11" s="109" customFormat="1">
      <c r="A171" s="46"/>
      <c r="B171" s="46"/>
      <c r="C171" s="46"/>
      <c r="D171" s="46"/>
      <c r="E171" s="46"/>
      <c r="F171" s="46"/>
      <c r="G171" s="46"/>
      <c r="H171" s="46"/>
      <c r="K171" s="46"/>
    </row>
    <row r="172" spans="1:11" s="109" customFormat="1">
      <c r="A172" s="46"/>
      <c r="B172" s="46"/>
      <c r="C172" s="46"/>
      <c r="D172" s="46"/>
      <c r="E172" s="46"/>
      <c r="F172" s="46"/>
      <c r="G172" s="46"/>
      <c r="H172" s="46"/>
      <c r="K172" s="46"/>
    </row>
    <row r="173" spans="1:11" s="109" customFormat="1">
      <c r="A173" s="46"/>
      <c r="B173" s="46"/>
      <c r="C173" s="46"/>
      <c r="D173" s="46"/>
      <c r="E173" s="46"/>
      <c r="F173" s="46"/>
      <c r="G173" s="46"/>
      <c r="H173" s="46"/>
      <c r="K173" s="46"/>
    </row>
    <row r="174" spans="1:11" s="109" customFormat="1">
      <c r="A174" s="46"/>
      <c r="B174" s="46"/>
      <c r="C174" s="46"/>
      <c r="D174" s="46"/>
      <c r="E174" s="46"/>
      <c r="F174" s="46"/>
      <c r="G174" s="46"/>
      <c r="H174" s="46"/>
      <c r="K174" s="46"/>
    </row>
    <row r="175" spans="1:11" s="109" customFormat="1">
      <c r="A175" s="46"/>
      <c r="B175" s="46"/>
      <c r="C175" s="46"/>
      <c r="D175" s="46"/>
      <c r="E175" s="46"/>
      <c r="F175" s="46"/>
      <c r="G175" s="46"/>
      <c r="H175" s="46"/>
      <c r="K175" s="46"/>
    </row>
    <row r="176" spans="1:11" s="109" customFormat="1">
      <c r="A176" s="46"/>
      <c r="B176" s="46"/>
      <c r="C176" s="46"/>
      <c r="D176" s="46"/>
      <c r="E176" s="46"/>
      <c r="F176" s="46"/>
      <c r="G176" s="46"/>
      <c r="H176" s="46"/>
      <c r="K176" s="46"/>
    </row>
    <row r="177" spans="1:11" s="109" customFormat="1">
      <c r="A177" s="46"/>
      <c r="B177" s="46"/>
      <c r="C177" s="46"/>
      <c r="D177" s="46"/>
      <c r="E177" s="46"/>
      <c r="F177" s="46"/>
      <c r="G177" s="46"/>
      <c r="H177" s="46"/>
      <c r="K177" s="46"/>
    </row>
    <row r="178" spans="1:11" s="109" customFormat="1">
      <c r="A178" s="46"/>
      <c r="B178" s="46"/>
      <c r="C178" s="46"/>
      <c r="D178" s="46"/>
      <c r="E178" s="46"/>
      <c r="F178" s="46"/>
      <c r="G178" s="46"/>
      <c r="H178" s="46"/>
      <c r="K178" s="46"/>
    </row>
    <row r="179" spans="1:11" s="109" customFormat="1">
      <c r="A179" s="46"/>
      <c r="B179" s="46"/>
      <c r="C179" s="46"/>
      <c r="D179" s="46"/>
      <c r="E179" s="46"/>
      <c r="F179" s="46"/>
      <c r="G179" s="46"/>
      <c r="H179" s="46"/>
      <c r="K179" s="46"/>
    </row>
    <row r="180" spans="1:11" s="109" customFormat="1">
      <c r="A180" s="46"/>
      <c r="B180" s="46"/>
      <c r="C180" s="46"/>
      <c r="D180" s="46"/>
      <c r="E180" s="46"/>
      <c r="F180" s="46"/>
      <c r="G180" s="46"/>
      <c r="H180" s="46"/>
      <c r="K180" s="46"/>
    </row>
    <row r="181" spans="1:11" s="109" customFormat="1">
      <c r="A181" s="46"/>
      <c r="B181" s="46"/>
      <c r="C181" s="46"/>
      <c r="D181" s="46"/>
      <c r="E181" s="46"/>
      <c r="F181" s="46"/>
      <c r="G181" s="46"/>
      <c r="H181" s="46"/>
      <c r="K181" s="46"/>
    </row>
    <row r="182" spans="1:11" s="109" customFormat="1">
      <c r="A182" s="46"/>
      <c r="B182" s="46"/>
      <c r="C182" s="46"/>
      <c r="D182" s="46"/>
      <c r="E182" s="46"/>
      <c r="F182" s="46"/>
      <c r="G182" s="46"/>
      <c r="H182" s="46"/>
      <c r="K182" s="46"/>
    </row>
    <row r="183" spans="1:11" s="109" customFormat="1">
      <c r="A183" s="46"/>
      <c r="B183" s="46"/>
      <c r="C183" s="46"/>
      <c r="D183" s="46"/>
      <c r="E183" s="46"/>
      <c r="F183" s="46"/>
      <c r="G183" s="46"/>
      <c r="H183" s="46"/>
      <c r="K183" s="46"/>
    </row>
    <row r="184" spans="1:11" s="109" customFormat="1">
      <c r="A184" s="46"/>
      <c r="B184" s="46"/>
      <c r="C184" s="46"/>
      <c r="D184" s="46"/>
      <c r="E184" s="46"/>
      <c r="F184" s="46"/>
      <c r="G184" s="46"/>
      <c r="H184" s="46"/>
      <c r="K184" s="46"/>
    </row>
    <row r="185" spans="1:11" s="109" customFormat="1">
      <c r="A185" s="46"/>
      <c r="B185" s="46"/>
      <c r="C185" s="46"/>
      <c r="D185" s="46"/>
      <c r="E185" s="46"/>
      <c r="F185" s="46"/>
      <c r="G185" s="46"/>
      <c r="H185" s="46"/>
      <c r="K185" s="46"/>
    </row>
    <row r="186" spans="1:11" s="109" customFormat="1">
      <c r="A186" s="46"/>
      <c r="B186" s="46"/>
      <c r="C186" s="46"/>
      <c r="D186" s="46"/>
      <c r="E186" s="46"/>
      <c r="F186" s="46"/>
      <c r="G186" s="46"/>
      <c r="H186" s="46"/>
      <c r="K186" s="46"/>
    </row>
    <row r="187" spans="1:11" s="109" customFormat="1">
      <c r="A187" s="46"/>
      <c r="B187" s="46"/>
      <c r="C187" s="46"/>
      <c r="D187" s="46"/>
      <c r="E187" s="46"/>
      <c r="F187" s="46"/>
      <c r="G187" s="46"/>
      <c r="H187" s="46"/>
      <c r="K187" s="46"/>
    </row>
    <row r="188" spans="1:11" s="109" customFormat="1">
      <c r="A188" s="46"/>
      <c r="B188" s="46"/>
      <c r="C188" s="46"/>
      <c r="D188" s="46"/>
      <c r="E188" s="46"/>
      <c r="F188" s="46"/>
      <c r="G188" s="46"/>
      <c r="H188" s="46"/>
      <c r="K188" s="46"/>
    </row>
    <row r="189" spans="1:11" s="109" customFormat="1">
      <c r="A189" s="46"/>
      <c r="B189" s="46"/>
      <c r="C189" s="46"/>
      <c r="D189" s="46"/>
      <c r="E189" s="46"/>
      <c r="F189" s="46"/>
      <c r="G189" s="46"/>
      <c r="H189" s="46"/>
      <c r="K189" s="46"/>
    </row>
    <row r="190" spans="1:11" s="109" customFormat="1">
      <c r="A190" s="46"/>
      <c r="B190" s="46"/>
      <c r="C190" s="46"/>
      <c r="D190" s="46"/>
      <c r="E190" s="46"/>
      <c r="F190" s="46"/>
      <c r="G190" s="46"/>
      <c r="H190" s="46"/>
      <c r="K190" s="46"/>
    </row>
    <row r="191" spans="1:11" s="109" customFormat="1">
      <c r="A191" s="46"/>
      <c r="B191" s="46"/>
      <c r="C191" s="46"/>
      <c r="D191" s="46"/>
      <c r="E191" s="46"/>
      <c r="F191" s="46"/>
      <c r="G191" s="46"/>
      <c r="H191" s="46"/>
      <c r="K191" s="46"/>
    </row>
    <row r="192" spans="1:11" s="109" customFormat="1">
      <c r="A192" s="46"/>
      <c r="B192" s="46"/>
      <c r="C192" s="46"/>
      <c r="D192" s="46"/>
      <c r="E192" s="46"/>
      <c r="F192" s="46"/>
      <c r="G192" s="46"/>
      <c r="H192" s="46"/>
      <c r="K192" s="46"/>
    </row>
    <row r="193" spans="1:11" s="109" customFormat="1">
      <c r="A193" s="46"/>
      <c r="B193" s="46"/>
      <c r="C193" s="46"/>
      <c r="D193" s="46"/>
      <c r="E193" s="46"/>
      <c r="F193" s="46"/>
      <c r="G193" s="46"/>
      <c r="H193" s="46"/>
      <c r="K193" s="46"/>
    </row>
    <row r="194" spans="1:11" s="109" customFormat="1">
      <c r="A194" s="46"/>
      <c r="B194" s="46"/>
      <c r="C194" s="46"/>
      <c r="D194" s="46"/>
      <c r="E194" s="46"/>
      <c r="F194" s="46"/>
      <c r="G194" s="46"/>
      <c r="H194" s="46"/>
      <c r="K194" s="46"/>
    </row>
    <row r="195" spans="1:11" s="109" customFormat="1">
      <c r="A195" s="46"/>
      <c r="B195" s="46"/>
      <c r="C195" s="46"/>
      <c r="D195" s="46"/>
      <c r="E195" s="46"/>
      <c r="F195" s="46"/>
      <c r="G195" s="46"/>
      <c r="H195" s="46"/>
      <c r="K195" s="46"/>
    </row>
    <row r="196" spans="1:11" s="109" customFormat="1">
      <c r="A196" s="46"/>
      <c r="B196" s="46"/>
      <c r="C196" s="46"/>
      <c r="D196" s="46"/>
      <c r="E196" s="46"/>
      <c r="F196" s="46"/>
      <c r="G196" s="46"/>
      <c r="H196" s="46"/>
      <c r="K196" s="46"/>
    </row>
    <row r="197" spans="1:11" s="109" customFormat="1">
      <c r="A197" s="46"/>
      <c r="B197" s="46"/>
      <c r="C197" s="46"/>
      <c r="D197" s="46"/>
      <c r="E197" s="46"/>
      <c r="F197" s="46"/>
      <c r="G197" s="46"/>
      <c r="H197" s="46"/>
      <c r="K197" s="46"/>
    </row>
    <row r="198" spans="1:11" s="109" customFormat="1">
      <c r="A198" s="46"/>
      <c r="B198" s="46"/>
      <c r="C198" s="46"/>
      <c r="D198" s="46"/>
      <c r="E198" s="46"/>
      <c r="F198" s="46"/>
      <c r="G198" s="46"/>
      <c r="H198" s="46"/>
      <c r="K198" s="46"/>
    </row>
    <row r="199" spans="1:11" s="109" customFormat="1">
      <c r="A199" s="46"/>
      <c r="B199" s="46"/>
      <c r="C199" s="46"/>
      <c r="D199" s="46"/>
      <c r="E199" s="46"/>
      <c r="F199" s="46"/>
      <c r="G199" s="46"/>
      <c r="H199" s="46"/>
      <c r="K199" s="46"/>
    </row>
    <row r="200" spans="1:11" s="109" customFormat="1">
      <c r="A200" s="46"/>
      <c r="B200" s="46"/>
      <c r="C200" s="46"/>
      <c r="D200" s="46"/>
      <c r="E200" s="46"/>
      <c r="F200" s="46"/>
      <c r="G200" s="46"/>
      <c r="H200" s="46"/>
      <c r="K200" s="46"/>
    </row>
    <row r="201" spans="1:11" s="109" customFormat="1">
      <c r="A201" s="46"/>
      <c r="B201" s="46"/>
      <c r="C201" s="46"/>
      <c r="D201" s="46"/>
      <c r="E201" s="46"/>
      <c r="F201" s="46"/>
      <c r="G201" s="46"/>
      <c r="H201" s="46"/>
      <c r="K201" s="46"/>
    </row>
    <row r="202" spans="1:11" s="109" customFormat="1">
      <c r="A202" s="46"/>
      <c r="B202" s="46"/>
      <c r="C202" s="46"/>
      <c r="D202" s="46"/>
      <c r="E202" s="46"/>
      <c r="F202" s="46"/>
      <c r="G202" s="46"/>
      <c r="H202" s="46"/>
      <c r="K202" s="46"/>
    </row>
    <row r="203" spans="1:11" s="109" customFormat="1">
      <c r="A203" s="46"/>
      <c r="B203" s="46"/>
      <c r="C203" s="46"/>
      <c r="D203" s="46"/>
      <c r="E203" s="46"/>
      <c r="F203" s="46"/>
      <c r="G203" s="46"/>
      <c r="H203" s="46"/>
      <c r="K203" s="46"/>
    </row>
    <row r="204" spans="1:11" s="109" customFormat="1">
      <c r="A204" s="46"/>
      <c r="B204" s="46"/>
      <c r="C204" s="46"/>
      <c r="D204" s="46"/>
      <c r="E204" s="46"/>
      <c r="F204" s="46"/>
      <c r="G204" s="46"/>
      <c r="H204" s="46"/>
      <c r="K204" s="46"/>
    </row>
    <row r="205" spans="1:11" s="109" customFormat="1">
      <c r="A205" s="46"/>
      <c r="B205" s="46"/>
      <c r="C205" s="46"/>
      <c r="D205" s="46"/>
      <c r="E205" s="46"/>
      <c r="F205" s="46"/>
      <c r="G205" s="46"/>
      <c r="H205" s="46"/>
      <c r="K205" s="46"/>
    </row>
    <row r="206" spans="1:11" s="109" customFormat="1">
      <c r="A206" s="46"/>
      <c r="B206" s="46"/>
      <c r="C206" s="46"/>
      <c r="D206" s="46"/>
      <c r="E206" s="46"/>
      <c r="F206" s="46"/>
      <c r="G206" s="46"/>
      <c r="H206" s="46"/>
      <c r="K206" s="46"/>
    </row>
    <row r="207" spans="1:11" s="109" customFormat="1">
      <c r="A207" s="46"/>
      <c r="B207" s="46"/>
      <c r="C207" s="46"/>
      <c r="D207" s="46"/>
      <c r="E207" s="46"/>
      <c r="F207" s="46"/>
      <c r="G207" s="46"/>
      <c r="H207" s="46"/>
      <c r="K207" s="46"/>
    </row>
    <row r="208" spans="1:11" s="109" customFormat="1">
      <c r="A208" s="46"/>
      <c r="B208" s="46"/>
      <c r="C208" s="46"/>
      <c r="D208" s="46"/>
      <c r="E208" s="46"/>
      <c r="F208" s="46"/>
      <c r="G208" s="46"/>
      <c r="H208" s="46"/>
      <c r="K208" s="46"/>
    </row>
    <row r="209" spans="1:11" s="109" customFormat="1">
      <c r="A209" s="46"/>
      <c r="B209" s="46"/>
      <c r="C209" s="46"/>
      <c r="D209" s="46"/>
      <c r="E209" s="46"/>
      <c r="F209" s="46"/>
      <c r="G209" s="46"/>
      <c r="H209" s="46"/>
      <c r="K209" s="46"/>
    </row>
    <row r="210" spans="1:11" s="109" customFormat="1">
      <c r="A210" s="46"/>
      <c r="B210" s="46"/>
      <c r="C210" s="46"/>
      <c r="D210" s="46"/>
      <c r="E210" s="46"/>
      <c r="F210" s="46"/>
      <c r="G210" s="46"/>
      <c r="H210" s="46"/>
      <c r="K210" s="46"/>
    </row>
    <row r="211" spans="1:11" s="109" customFormat="1">
      <c r="A211" s="46"/>
      <c r="B211" s="46"/>
      <c r="C211" s="46"/>
      <c r="D211" s="46"/>
      <c r="E211" s="46"/>
      <c r="F211" s="46"/>
      <c r="G211" s="46"/>
      <c r="H211" s="46"/>
      <c r="K211" s="46"/>
    </row>
    <row r="212" spans="1:11" s="109" customFormat="1">
      <c r="A212" s="46"/>
      <c r="B212" s="46"/>
      <c r="C212" s="46"/>
      <c r="D212" s="46"/>
      <c r="E212" s="46"/>
      <c r="F212" s="46"/>
      <c r="G212" s="46"/>
      <c r="H212" s="46"/>
      <c r="K212" s="46"/>
    </row>
    <row r="213" spans="1:11" s="109" customFormat="1">
      <c r="A213" s="46"/>
      <c r="B213" s="46"/>
      <c r="C213" s="46"/>
      <c r="D213" s="46"/>
      <c r="E213" s="46"/>
      <c r="F213" s="46"/>
      <c r="G213" s="46"/>
      <c r="H213" s="46"/>
      <c r="K213" s="46"/>
    </row>
    <row r="214" spans="1:11" s="109" customFormat="1">
      <c r="A214" s="46"/>
      <c r="B214" s="46"/>
      <c r="C214" s="46"/>
      <c r="D214" s="46"/>
      <c r="E214" s="46"/>
      <c r="F214" s="46"/>
      <c r="G214" s="46"/>
      <c r="H214" s="46"/>
      <c r="K214" s="46"/>
    </row>
    <row r="215" spans="1:11" s="109" customFormat="1">
      <c r="A215" s="46"/>
      <c r="B215" s="46"/>
      <c r="C215" s="46"/>
      <c r="D215" s="46"/>
      <c r="E215" s="46"/>
      <c r="F215" s="46"/>
      <c r="G215" s="46"/>
      <c r="H215" s="46"/>
      <c r="K215" s="46"/>
    </row>
    <row r="216" spans="1:11" s="109" customFormat="1">
      <c r="A216" s="46"/>
      <c r="B216" s="46"/>
      <c r="C216" s="46"/>
      <c r="D216" s="46"/>
      <c r="E216" s="46"/>
      <c r="F216" s="46"/>
      <c r="G216" s="46"/>
      <c r="H216" s="46"/>
      <c r="K216" s="46"/>
    </row>
    <row r="217" spans="1:11" s="109" customFormat="1">
      <c r="A217" s="46"/>
      <c r="B217" s="46"/>
      <c r="C217" s="46"/>
      <c r="D217" s="46"/>
      <c r="E217" s="46"/>
      <c r="F217" s="46"/>
      <c r="G217" s="46"/>
      <c r="H217" s="46"/>
      <c r="K217" s="46"/>
    </row>
    <row r="218" spans="1:11" s="109" customFormat="1">
      <c r="A218" s="46"/>
      <c r="B218" s="46"/>
      <c r="C218" s="46"/>
      <c r="D218" s="46"/>
      <c r="E218" s="46"/>
      <c r="F218" s="46"/>
      <c r="G218" s="46"/>
      <c r="H218" s="46"/>
      <c r="K218" s="46"/>
    </row>
    <row r="219" spans="1:11" s="109" customFormat="1">
      <c r="A219" s="46"/>
      <c r="B219" s="46"/>
      <c r="C219" s="46"/>
      <c r="D219" s="46"/>
      <c r="E219" s="46"/>
      <c r="F219" s="46"/>
      <c r="G219" s="46"/>
      <c r="H219" s="46"/>
      <c r="K219" s="46"/>
    </row>
    <row r="220" spans="1:11" s="109" customFormat="1">
      <c r="A220" s="46"/>
      <c r="B220" s="46"/>
      <c r="C220" s="46"/>
      <c r="D220" s="46"/>
      <c r="E220" s="46"/>
      <c r="F220" s="46"/>
      <c r="G220" s="46"/>
      <c r="H220" s="46"/>
      <c r="K220" s="46"/>
    </row>
    <row r="221" spans="1:11" s="109" customFormat="1">
      <c r="A221" s="46"/>
      <c r="B221" s="46"/>
      <c r="C221" s="46"/>
      <c r="D221" s="46"/>
      <c r="E221" s="46"/>
      <c r="F221" s="46"/>
      <c r="G221" s="46"/>
      <c r="H221" s="46"/>
      <c r="K221" s="46"/>
    </row>
    <row r="222" spans="1:11" s="109" customFormat="1">
      <c r="A222" s="46"/>
      <c r="B222" s="46"/>
      <c r="C222" s="46"/>
      <c r="D222" s="46"/>
      <c r="E222" s="46"/>
      <c r="F222" s="46"/>
      <c r="G222" s="46"/>
      <c r="H222" s="46"/>
      <c r="K222" s="46"/>
    </row>
    <row r="223" spans="1:11" s="109" customFormat="1">
      <c r="A223" s="46"/>
      <c r="B223" s="46"/>
      <c r="C223" s="46"/>
      <c r="D223" s="46"/>
      <c r="E223" s="46"/>
      <c r="F223" s="46"/>
      <c r="G223" s="46"/>
      <c r="H223" s="46"/>
      <c r="K223" s="46"/>
    </row>
    <row r="224" spans="1:11" s="109" customFormat="1">
      <c r="A224" s="46"/>
      <c r="B224" s="46"/>
      <c r="C224" s="46"/>
      <c r="D224" s="46"/>
      <c r="E224" s="46"/>
      <c r="F224" s="46"/>
      <c r="G224" s="46"/>
      <c r="H224" s="46"/>
      <c r="K224" s="46"/>
    </row>
    <row r="225" spans="1:11" s="109" customFormat="1">
      <c r="A225" s="46"/>
      <c r="B225" s="46"/>
      <c r="C225" s="46"/>
      <c r="D225" s="46"/>
      <c r="E225" s="46"/>
      <c r="F225" s="46"/>
      <c r="G225" s="46"/>
      <c r="H225" s="46"/>
      <c r="K225" s="46"/>
    </row>
    <row r="226" spans="1:11" s="109" customFormat="1">
      <c r="A226" s="46"/>
      <c r="B226" s="46"/>
      <c r="C226" s="46"/>
      <c r="D226" s="46"/>
      <c r="E226" s="46"/>
      <c r="F226" s="46"/>
      <c r="G226" s="46"/>
      <c r="H226" s="46"/>
      <c r="K226" s="46"/>
    </row>
    <row r="227" spans="1:11" s="109" customFormat="1">
      <c r="A227" s="46"/>
      <c r="B227" s="46"/>
      <c r="C227" s="46"/>
      <c r="D227" s="46"/>
      <c r="E227" s="46"/>
      <c r="F227" s="46"/>
      <c r="G227" s="46"/>
      <c r="H227" s="46"/>
      <c r="K227" s="46"/>
    </row>
    <row r="228" spans="1:11" s="109" customFormat="1">
      <c r="A228" s="46"/>
      <c r="B228" s="46"/>
      <c r="C228" s="46"/>
      <c r="D228" s="46"/>
      <c r="E228" s="46"/>
      <c r="F228" s="46"/>
      <c r="G228" s="46"/>
      <c r="H228" s="46"/>
      <c r="K228" s="46"/>
    </row>
    <row r="229" spans="1:11" s="109" customFormat="1">
      <c r="A229" s="46"/>
      <c r="B229" s="46"/>
      <c r="C229" s="46"/>
      <c r="D229" s="46"/>
      <c r="E229" s="46"/>
      <c r="F229" s="46"/>
      <c r="G229" s="46"/>
      <c r="H229" s="46"/>
      <c r="K229" s="46"/>
    </row>
    <row r="230" spans="1:11" s="109" customFormat="1">
      <c r="A230" s="46"/>
      <c r="B230" s="46"/>
      <c r="C230" s="46"/>
      <c r="D230" s="46"/>
      <c r="E230" s="46"/>
      <c r="F230" s="46"/>
      <c r="G230" s="46"/>
      <c r="H230" s="46"/>
      <c r="K230" s="46"/>
    </row>
    <row r="231" spans="1:11" s="109" customFormat="1">
      <c r="A231" s="46"/>
      <c r="B231" s="46"/>
      <c r="C231" s="46"/>
      <c r="D231" s="46"/>
      <c r="E231" s="46"/>
      <c r="F231" s="46"/>
      <c r="G231" s="46"/>
      <c r="H231" s="46"/>
      <c r="K231" s="46"/>
    </row>
  </sheetData>
  <mergeCells count="3">
    <mergeCell ref="A2:J2"/>
    <mergeCell ref="A3:J3"/>
    <mergeCell ref="A4:J4"/>
  </mergeCells>
  <pageMargins left="0.27" right="0.15" top="0.39" bottom="0.1" header="0.21" footer="0.1"/>
  <pageSetup scale="90" orientation="portrait" horizontalDpi="300" verticalDpi="300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FF00"/>
  </sheetPr>
  <dimension ref="A1:N231"/>
  <sheetViews>
    <sheetView topLeftCell="A24" workbookViewId="0">
      <selection activeCell="J13" sqref="J13"/>
    </sheetView>
  </sheetViews>
  <sheetFormatPr defaultRowHeight="12.75"/>
  <cols>
    <col min="1" max="1" width="6" style="46" customWidth="1"/>
    <col min="2" max="3" width="9.140625" style="46"/>
    <col min="4" max="4" width="16.5703125" style="46" customWidth="1"/>
    <col min="5" max="5" width="12.42578125" style="46" customWidth="1"/>
    <col min="6" max="6" width="13.140625" style="46" customWidth="1"/>
    <col min="7" max="7" width="10" style="46" customWidth="1"/>
    <col min="8" max="8" width="11.5703125" style="46" customWidth="1"/>
    <col min="9" max="9" width="11.42578125" style="46" customWidth="1"/>
    <col min="10" max="10" width="13.28515625" style="109" customWidth="1"/>
    <col min="11" max="11" width="15.7109375" style="46" customWidth="1"/>
    <col min="12" max="12" width="16.85546875" style="109" customWidth="1"/>
    <col min="13" max="13" width="17" style="109" customWidth="1"/>
    <col min="14" max="14" width="17" style="46" customWidth="1"/>
    <col min="15" max="16384" width="9.140625" style="46"/>
  </cols>
  <sheetData>
    <row r="1" spans="1:13">
      <c r="A1" s="47"/>
      <c r="B1" s="48"/>
      <c r="C1" s="48"/>
      <c r="D1" s="48"/>
      <c r="E1" s="48"/>
      <c r="F1" s="48"/>
      <c r="G1" s="48"/>
      <c r="H1" s="48"/>
      <c r="I1" s="48"/>
      <c r="J1" s="169" t="s">
        <v>81</v>
      </c>
    </row>
    <row r="2" spans="1:13">
      <c r="A2" s="389" t="s">
        <v>80</v>
      </c>
      <c r="B2" s="390"/>
      <c r="C2" s="390"/>
      <c r="D2" s="390"/>
      <c r="E2" s="390"/>
      <c r="F2" s="390"/>
      <c r="G2" s="390"/>
      <c r="H2" s="390"/>
      <c r="I2" s="390"/>
      <c r="J2" s="391"/>
    </row>
    <row r="3" spans="1:13">
      <c r="A3" s="389" t="s">
        <v>198</v>
      </c>
      <c r="B3" s="390"/>
      <c r="C3" s="390"/>
      <c r="D3" s="390"/>
      <c r="E3" s="390"/>
      <c r="F3" s="390"/>
      <c r="G3" s="390"/>
      <c r="H3" s="390"/>
      <c r="I3" s="390"/>
      <c r="J3" s="391"/>
    </row>
    <row r="4" spans="1:13">
      <c r="A4" s="389"/>
      <c r="B4" s="390"/>
      <c r="C4" s="390"/>
      <c r="D4" s="390"/>
      <c r="E4" s="390"/>
      <c r="F4" s="390"/>
      <c r="G4" s="390"/>
      <c r="H4" s="390"/>
      <c r="I4" s="390"/>
      <c r="J4" s="391"/>
    </row>
    <row r="5" spans="1:13">
      <c r="A5" s="54" t="s">
        <v>77</v>
      </c>
      <c r="B5" s="207"/>
      <c r="C5" s="207"/>
      <c r="D5" s="207"/>
      <c r="E5" s="207"/>
      <c r="F5" s="207"/>
      <c r="G5" s="207"/>
      <c r="H5" s="207"/>
      <c r="I5" s="207"/>
      <c r="J5" s="170"/>
    </row>
    <row r="6" spans="1:13">
      <c r="A6" s="54" t="s">
        <v>76</v>
      </c>
      <c r="B6" s="55"/>
      <c r="C6" s="55"/>
      <c r="D6" s="55"/>
      <c r="E6" s="55"/>
      <c r="F6" s="55"/>
      <c r="G6" s="55"/>
      <c r="H6" s="55"/>
      <c r="I6" s="55"/>
      <c r="J6" s="171"/>
    </row>
    <row r="7" spans="1:13">
      <c r="A7" s="47"/>
      <c r="B7" s="48"/>
      <c r="C7" s="48"/>
      <c r="D7" s="49"/>
      <c r="E7" s="88" t="s">
        <v>8</v>
      </c>
      <c r="F7" s="50"/>
      <c r="G7" s="52"/>
      <c r="H7" s="52"/>
      <c r="I7" s="53"/>
      <c r="J7" s="110"/>
    </row>
    <row r="8" spans="1:13">
      <c r="A8" s="54"/>
      <c r="B8" s="55"/>
      <c r="C8" s="55"/>
      <c r="D8" s="56"/>
      <c r="E8" s="206" t="s">
        <v>9</v>
      </c>
      <c r="F8" s="53"/>
      <c r="G8" s="59"/>
      <c r="H8" s="59"/>
      <c r="I8" s="58"/>
      <c r="J8" s="111"/>
    </row>
    <row r="9" spans="1:13">
      <c r="A9" s="61" t="s">
        <v>68</v>
      </c>
      <c r="B9" s="55"/>
      <c r="C9" s="55"/>
      <c r="D9" s="56"/>
      <c r="E9" s="206" t="s">
        <v>10</v>
      </c>
      <c r="F9" s="60" t="s">
        <v>12</v>
      </c>
      <c r="G9" s="60" t="s">
        <v>14</v>
      </c>
      <c r="H9" s="60" t="s">
        <v>20</v>
      </c>
      <c r="I9" s="60" t="s">
        <v>22</v>
      </c>
      <c r="J9" s="112" t="s">
        <v>24</v>
      </c>
    </row>
    <row r="10" spans="1:13">
      <c r="A10" s="54"/>
      <c r="B10" s="55"/>
      <c r="C10" s="55"/>
      <c r="D10" s="56"/>
      <c r="E10" s="206" t="s">
        <v>11</v>
      </c>
      <c r="F10" s="60" t="s">
        <v>13</v>
      </c>
      <c r="G10" s="59"/>
      <c r="H10" s="60" t="s">
        <v>21</v>
      </c>
      <c r="I10" s="60" t="s">
        <v>23</v>
      </c>
      <c r="J10" s="111"/>
    </row>
    <row r="11" spans="1:13">
      <c r="A11" s="62"/>
      <c r="B11" s="63"/>
      <c r="C11" s="63"/>
      <c r="D11" s="64"/>
      <c r="E11" s="65">
        <v>0.3</v>
      </c>
      <c r="F11" s="66">
        <v>0.7</v>
      </c>
      <c r="G11" s="59"/>
      <c r="H11" s="67"/>
      <c r="I11" s="68"/>
      <c r="J11" s="113"/>
    </row>
    <row r="12" spans="1:13" ht="18" customHeight="1">
      <c r="A12" s="70" t="s">
        <v>0</v>
      </c>
      <c r="B12" s="71"/>
      <c r="C12" s="71"/>
      <c r="D12" s="72"/>
      <c r="E12" s="51"/>
      <c r="F12" s="51"/>
      <c r="G12" s="51"/>
      <c r="H12" s="51"/>
      <c r="I12" s="51"/>
      <c r="J12" s="110"/>
      <c r="L12" s="118" t="s">
        <v>90</v>
      </c>
      <c r="M12" s="118" t="s">
        <v>89</v>
      </c>
    </row>
    <row r="13" spans="1:13" ht="18" customHeight="1">
      <c r="A13" s="73" t="s">
        <v>1</v>
      </c>
      <c r="B13" s="72"/>
      <c r="C13" s="72"/>
      <c r="D13" s="72"/>
      <c r="E13" s="94">
        <f>M19*0.3</f>
        <v>934384.18169999961</v>
      </c>
      <c r="F13" s="94">
        <f>M19*0.7</f>
        <v>2180229.7572999992</v>
      </c>
      <c r="G13" s="94"/>
      <c r="H13" s="94"/>
      <c r="I13" s="94"/>
      <c r="J13" s="114">
        <f>SUM(E13:I13)</f>
        <v>3114613.9389999988</v>
      </c>
      <c r="K13" s="175" t="e">
        <f>SUM(J13+#REF!+#REF!+#REF!+#REF!+#REF!+#REF!+#REF!+#REF!+#REF!+#REF!+#REF!)</f>
        <v>#REF!</v>
      </c>
      <c r="L13" s="109">
        <v>21367644.399999999</v>
      </c>
      <c r="M13" s="109">
        <v>4171566.4</v>
      </c>
    </row>
    <row r="14" spans="1:13" ht="18" customHeight="1">
      <c r="A14" s="73" t="s">
        <v>2</v>
      </c>
      <c r="B14" s="72"/>
      <c r="C14" s="72"/>
      <c r="D14" s="72"/>
      <c r="E14" s="102"/>
      <c r="F14" s="102"/>
      <c r="G14" s="102"/>
      <c r="H14" s="102"/>
      <c r="I14" s="102"/>
      <c r="J14" s="110">
        <f>SUM(E14:I14)</f>
        <v>0</v>
      </c>
      <c r="K14" s="117" t="s">
        <v>88</v>
      </c>
      <c r="L14" s="109">
        <v>9400000</v>
      </c>
      <c r="M14" s="109">
        <v>5637398.9699999997</v>
      </c>
    </row>
    <row r="15" spans="1:13" ht="18" customHeight="1">
      <c r="A15" s="75" t="s">
        <v>3</v>
      </c>
      <c r="B15" s="48"/>
      <c r="C15" s="48"/>
      <c r="D15" s="48"/>
      <c r="E15" s="102"/>
      <c r="F15" s="102"/>
      <c r="G15" s="102"/>
      <c r="H15" s="102"/>
      <c r="I15" s="102"/>
      <c r="J15" s="110"/>
      <c r="L15" s="116">
        <f>SUM(L13:L14)</f>
        <v>30767644.399999999</v>
      </c>
      <c r="M15" s="116">
        <f>SUM(M13:M14)</f>
        <v>9808965.3699999992</v>
      </c>
    </row>
    <row r="16" spans="1:13" ht="18" customHeight="1">
      <c r="A16" s="76" t="s">
        <v>78</v>
      </c>
      <c r="B16" s="55"/>
      <c r="C16" s="55"/>
      <c r="D16" s="55"/>
      <c r="E16" s="103"/>
      <c r="F16" s="103"/>
      <c r="G16" s="103"/>
      <c r="H16" s="103"/>
      <c r="I16" s="103"/>
      <c r="J16" s="113">
        <f>SUM(E16:I16)</f>
        <v>0</v>
      </c>
      <c r="K16" s="46">
        <v>11930281.960000001</v>
      </c>
    </row>
    <row r="17" spans="1:13" ht="18" customHeight="1">
      <c r="A17" s="77" t="s">
        <v>79</v>
      </c>
      <c r="B17" s="72"/>
      <c r="C17" s="72"/>
      <c r="D17" s="72"/>
      <c r="E17" s="94"/>
      <c r="F17" s="94"/>
      <c r="G17" s="94"/>
      <c r="H17" s="94"/>
      <c r="I17" s="94"/>
      <c r="J17" s="113">
        <f>SUM(E17:I17)</f>
        <v>0</v>
      </c>
      <c r="K17" s="173">
        <f>K16-J16</f>
        <v>11930281.960000001</v>
      </c>
      <c r="M17" s="109">
        <v>25936573.030000001</v>
      </c>
    </row>
    <row r="18" spans="1:13" ht="18" customHeight="1">
      <c r="A18" s="70" t="s">
        <v>7</v>
      </c>
      <c r="B18" s="72"/>
      <c r="C18" s="72"/>
      <c r="D18" s="72"/>
      <c r="E18" s="119">
        <f>SUM(E13:E17)</f>
        <v>934384.18169999961</v>
      </c>
      <c r="F18" s="119">
        <f t="shared" ref="F18:J18" si="0">SUM(F13:F17)</f>
        <v>2180229.7572999992</v>
      </c>
      <c r="G18" s="119">
        <f t="shared" si="0"/>
        <v>0</v>
      </c>
      <c r="H18" s="119">
        <f t="shared" si="0"/>
        <v>0</v>
      </c>
      <c r="I18" s="119">
        <f t="shared" si="0"/>
        <v>0</v>
      </c>
      <c r="J18" s="119">
        <f t="shared" si="0"/>
        <v>3114613.9389999988</v>
      </c>
      <c r="K18" s="166">
        <f t="shared" ref="K18:K40" si="1">SUM(E18:I18)</f>
        <v>3114613.9389999988</v>
      </c>
      <c r="L18" s="193" t="s">
        <v>171</v>
      </c>
      <c r="M18" s="192">
        <f>306724219.89-244431941.11</f>
        <v>62292278.779999971</v>
      </c>
    </row>
    <row r="19" spans="1:13" s="109" customFormat="1" ht="18" customHeight="1">
      <c r="A19" s="74" t="s">
        <v>99</v>
      </c>
      <c r="B19" s="72" t="s">
        <v>100</v>
      </c>
      <c r="C19" s="72"/>
      <c r="D19" s="72"/>
      <c r="E19" s="94">
        <f>SUM('DRRM Funds May 2014 '!E41)</f>
        <v>11794455.63665</v>
      </c>
      <c r="F19" s="94">
        <f>SUM('DRRM Funds May 2014 '!F41)</f>
        <v>21754710.838849995</v>
      </c>
      <c r="G19" s="94">
        <f>SUM('DRRM Funds May 2014 '!G41)</f>
        <v>0</v>
      </c>
      <c r="H19" s="94">
        <f>SUM('DRRM Funds May 2014 '!H41)</f>
        <v>10140</v>
      </c>
      <c r="I19" s="94">
        <f>SUM('DRRM Funds May 2014 '!I41)</f>
        <v>0</v>
      </c>
      <c r="J19" s="94">
        <f>SUM('DRRM Funds May 2014 '!J41)</f>
        <v>33559306.475500003</v>
      </c>
      <c r="K19" s="166">
        <f t="shared" si="1"/>
        <v>33559306.475499995</v>
      </c>
      <c r="L19" s="194">
        <v>0.05</v>
      </c>
      <c r="M19" s="192">
        <f>M18*0.05</f>
        <v>3114613.9389999988</v>
      </c>
    </row>
    <row r="20" spans="1:13" s="109" customFormat="1" ht="18" customHeight="1">
      <c r="A20" s="70" t="s">
        <v>101</v>
      </c>
      <c r="B20" s="122"/>
      <c r="C20" s="72"/>
      <c r="D20" s="72"/>
      <c r="E20" s="119">
        <f>SUM(E18:E19)</f>
        <v>12728839.818349998</v>
      </c>
      <c r="F20" s="119">
        <f t="shared" ref="F20:J20" si="2">SUM(F18:F19)</f>
        <v>23934940.596149996</v>
      </c>
      <c r="G20" s="119">
        <f t="shared" si="2"/>
        <v>0</v>
      </c>
      <c r="H20" s="119">
        <f t="shared" si="2"/>
        <v>10140</v>
      </c>
      <c r="I20" s="119">
        <f t="shared" si="2"/>
        <v>0</v>
      </c>
      <c r="J20" s="119">
        <f t="shared" si="2"/>
        <v>36673920.414499998</v>
      </c>
      <c r="K20" s="166">
        <f t="shared" si="1"/>
        <v>36673920.414499998</v>
      </c>
    </row>
    <row r="21" spans="1:13" ht="18" customHeight="1">
      <c r="A21" s="70" t="s">
        <v>15</v>
      </c>
      <c r="B21" s="72"/>
      <c r="C21" s="72"/>
      <c r="D21" s="72"/>
      <c r="E21" s="94"/>
      <c r="F21" s="94"/>
      <c r="G21" s="94"/>
      <c r="H21" s="94"/>
      <c r="I21" s="94"/>
      <c r="J21" s="111"/>
      <c r="K21" s="166">
        <f t="shared" si="1"/>
        <v>0</v>
      </c>
      <c r="M21" s="109">
        <v>26972032.48</v>
      </c>
    </row>
    <row r="22" spans="1:13" ht="18" customHeight="1">
      <c r="A22" s="78" t="s">
        <v>16</v>
      </c>
      <c r="B22" s="72"/>
      <c r="C22" s="72"/>
      <c r="D22" s="72"/>
      <c r="E22" s="94"/>
      <c r="F22" s="94"/>
      <c r="G22" s="94"/>
      <c r="H22" s="94"/>
      <c r="I22" s="94"/>
      <c r="J22" s="114">
        <f t="shared" ref="J22" si="3">SUM(E22:I22)</f>
        <v>0</v>
      </c>
      <c r="K22" s="166">
        <f t="shared" si="1"/>
        <v>0</v>
      </c>
      <c r="L22" s="176">
        <f>518731460.56*0.05</f>
        <v>25936573.028000001</v>
      </c>
      <c r="M22" s="109">
        <v>10934284.82</v>
      </c>
    </row>
    <row r="23" spans="1:13" ht="18" customHeight="1">
      <c r="A23" s="78" t="s">
        <v>70</v>
      </c>
      <c r="B23" s="72"/>
      <c r="C23" s="72"/>
      <c r="D23" s="72"/>
      <c r="E23" s="94"/>
      <c r="F23" s="94">
        <f>21000+91098+86000+17790+3400+95000</f>
        <v>314288</v>
      </c>
      <c r="G23" s="94"/>
      <c r="H23" s="94"/>
      <c r="I23" s="94"/>
      <c r="J23" s="114">
        <f>SUM(E23:I23)</f>
        <v>314288</v>
      </c>
      <c r="K23" s="166">
        <f t="shared" si="1"/>
        <v>314288</v>
      </c>
      <c r="L23" s="109" t="e">
        <f>L22-K13</f>
        <v>#REF!</v>
      </c>
      <c r="M23" s="109">
        <f>M21-M22</f>
        <v>16037747.66</v>
      </c>
    </row>
    <row r="24" spans="1:13" ht="18" customHeight="1">
      <c r="A24" s="78" t="s">
        <v>71</v>
      </c>
      <c r="B24" s="72"/>
      <c r="C24" s="72"/>
      <c r="D24" s="72"/>
      <c r="E24" s="94"/>
      <c r="F24" s="94">
        <f>238390.2+230752.21</f>
        <v>469142.41000000003</v>
      </c>
      <c r="G24" s="94"/>
      <c r="H24" s="94"/>
      <c r="I24" s="94"/>
      <c r="J24" s="114">
        <f t="shared" ref="J24:J37" si="4">SUM(E24:I24)</f>
        <v>469142.41000000003</v>
      </c>
      <c r="K24" s="166">
        <f t="shared" si="1"/>
        <v>469142.41000000003</v>
      </c>
    </row>
    <row r="25" spans="1:13" ht="18" customHeight="1">
      <c r="A25" s="79" t="s">
        <v>91</v>
      </c>
      <c r="B25" s="72"/>
      <c r="C25" s="72"/>
      <c r="D25" s="72"/>
      <c r="E25" s="94"/>
      <c r="F25" s="94">
        <f>3000+20800+13200</f>
        <v>37000</v>
      </c>
      <c r="G25" s="94"/>
      <c r="H25" s="94"/>
      <c r="I25" s="94"/>
      <c r="J25" s="114">
        <f t="shared" si="4"/>
        <v>37000</v>
      </c>
      <c r="K25" s="166">
        <f t="shared" si="1"/>
        <v>37000</v>
      </c>
    </row>
    <row r="26" spans="1:13" ht="18" customHeight="1">
      <c r="A26" s="78" t="s">
        <v>17</v>
      </c>
      <c r="B26" s="72"/>
      <c r="C26" s="72"/>
      <c r="D26" s="72"/>
      <c r="E26" s="94"/>
      <c r="F26" s="94"/>
      <c r="G26" s="94"/>
      <c r="H26" s="94"/>
      <c r="I26" s="94"/>
      <c r="J26" s="114">
        <f t="shared" si="4"/>
        <v>0</v>
      </c>
      <c r="K26" s="166">
        <f t="shared" si="1"/>
        <v>0</v>
      </c>
    </row>
    <row r="27" spans="1:13" ht="18" customHeight="1">
      <c r="A27" s="78" t="s">
        <v>18</v>
      </c>
      <c r="B27" s="72"/>
      <c r="C27" s="72"/>
      <c r="D27" s="72"/>
      <c r="E27" s="94"/>
      <c r="F27" s="94">
        <f>1098500+32400+68000</f>
        <v>1198900</v>
      </c>
      <c r="G27" s="94"/>
      <c r="H27" s="94"/>
      <c r="I27" s="94"/>
      <c r="J27" s="114">
        <f t="shared" si="4"/>
        <v>1198900</v>
      </c>
      <c r="K27" s="166">
        <f t="shared" si="1"/>
        <v>1198900</v>
      </c>
      <c r="L27" s="118" t="s">
        <v>162</v>
      </c>
    </row>
    <row r="28" spans="1:13" ht="18" customHeight="1">
      <c r="A28" s="78" t="s">
        <v>102</v>
      </c>
      <c r="B28" s="72"/>
      <c r="C28" s="72"/>
      <c r="D28" s="72"/>
      <c r="E28" s="94"/>
      <c r="F28" s="94"/>
      <c r="G28" s="94"/>
      <c r="H28" s="94"/>
      <c r="I28" s="94"/>
      <c r="J28" s="114">
        <f t="shared" si="4"/>
        <v>0</v>
      </c>
      <c r="K28" s="166">
        <f t="shared" si="1"/>
        <v>0</v>
      </c>
      <c r="L28" s="109">
        <f>SUM(F27:F28)</f>
        <v>1198900</v>
      </c>
    </row>
    <row r="29" spans="1:13" ht="18" customHeight="1">
      <c r="A29" s="78" t="s">
        <v>19</v>
      </c>
      <c r="B29" s="72"/>
      <c r="C29" s="72"/>
      <c r="D29" s="72"/>
      <c r="E29" s="94"/>
      <c r="F29" s="94"/>
      <c r="G29" s="94"/>
      <c r="H29" s="94"/>
      <c r="I29" s="94"/>
      <c r="J29" s="114">
        <f t="shared" si="4"/>
        <v>0</v>
      </c>
      <c r="K29" s="166">
        <f t="shared" si="1"/>
        <v>0</v>
      </c>
      <c r="L29" s="109">
        <v>147060</v>
      </c>
    </row>
    <row r="30" spans="1:13" ht="18" customHeight="1">
      <c r="A30" s="78" t="s">
        <v>168</v>
      </c>
      <c r="B30" s="72"/>
      <c r="C30" s="72"/>
      <c r="D30" s="72"/>
      <c r="E30" s="94"/>
      <c r="F30" s="94"/>
      <c r="G30" s="94"/>
      <c r="H30" s="94"/>
      <c r="I30" s="94"/>
      <c r="J30" s="114">
        <f t="shared" si="4"/>
        <v>0</v>
      </c>
      <c r="K30" s="166">
        <f t="shared" si="1"/>
        <v>0</v>
      </c>
    </row>
    <row r="31" spans="1:13" ht="18" customHeight="1">
      <c r="A31" s="78" t="s">
        <v>98</v>
      </c>
      <c r="B31" s="72"/>
      <c r="C31" s="72"/>
      <c r="D31" s="72"/>
      <c r="E31" s="94"/>
      <c r="F31" s="94"/>
      <c r="G31" s="94"/>
      <c r="H31" s="94"/>
      <c r="I31" s="94"/>
      <c r="J31" s="114"/>
      <c r="K31" s="166">
        <f t="shared" si="1"/>
        <v>0</v>
      </c>
      <c r="L31" s="109">
        <v>1555500</v>
      </c>
    </row>
    <row r="32" spans="1:13" ht="18" customHeight="1">
      <c r="A32" s="78"/>
      <c r="B32" s="72" t="s">
        <v>5</v>
      </c>
      <c r="C32" s="72"/>
      <c r="D32" s="72"/>
      <c r="E32" s="94"/>
      <c r="F32" s="94"/>
      <c r="G32" s="94"/>
      <c r="H32" s="94"/>
      <c r="I32" s="94"/>
      <c r="J32" s="114">
        <f t="shared" si="4"/>
        <v>0</v>
      </c>
      <c r="K32" s="166">
        <f t="shared" si="1"/>
        <v>0</v>
      </c>
      <c r="L32" s="109">
        <v>229640</v>
      </c>
      <c r="M32" s="109">
        <v>2313123</v>
      </c>
    </row>
    <row r="33" spans="1:14" ht="18" customHeight="1">
      <c r="A33" s="78"/>
      <c r="B33" s="72" t="s">
        <v>97</v>
      </c>
      <c r="C33" s="72"/>
      <c r="D33" s="72"/>
      <c r="E33" s="94"/>
      <c r="F33" s="94"/>
      <c r="G33" s="94"/>
      <c r="H33" s="94"/>
      <c r="I33" s="94"/>
      <c r="J33" s="114">
        <f t="shared" si="4"/>
        <v>0</v>
      </c>
      <c r="K33" s="166">
        <f t="shared" si="1"/>
        <v>0</v>
      </c>
      <c r="L33" s="109">
        <v>2209000</v>
      </c>
    </row>
    <row r="34" spans="1:14" ht="18" customHeight="1">
      <c r="A34" s="78" t="s">
        <v>75</v>
      </c>
      <c r="B34" s="72"/>
      <c r="C34" s="72"/>
      <c r="D34" s="72"/>
      <c r="E34" s="94"/>
      <c r="F34" s="94"/>
      <c r="G34" s="94"/>
      <c r="H34" s="94"/>
      <c r="I34" s="94"/>
      <c r="J34" s="114">
        <f t="shared" si="4"/>
        <v>0</v>
      </c>
      <c r="K34" s="166">
        <f t="shared" si="1"/>
        <v>0</v>
      </c>
      <c r="L34" s="109">
        <v>173800</v>
      </c>
    </row>
    <row r="35" spans="1:14" ht="18" customHeight="1">
      <c r="A35" s="79" t="s">
        <v>94</v>
      </c>
      <c r="B35" s="72"/>
      <c r="C35" s="72"/>
      <c r="D35" s="72"/>
      <c r="E35" s="94"/>
      <c r="F35" s="94"/>
      <c r="G35" s="94"/>
      <c r="H35" s="94"/>
      <c r="I35" s="94"/>
      <c r="J35" s="114">
        <f t="shared" si="4"/>
        <v>0</v>
      </c>
      <c r="K35" s="166">
        <f t="shared" si="1"/>
        <v>0</v>
      </c>
      <c r="L35" s="109">
        <v>177000</v>
      </c>
    </row>
    <row r="36" spans="1:14" ht="18" customHeight="1">
      <c r="A36" s="79" t="s">
        <v>95</v>
      </c>
      <c r="B36" s="72"/>
      <c r="C36" s="72"/>
      <c r="D36" s="72"/>
      <c r="E36" s="94"/>
      <c r="F36" s="94"/>
      <c r="G36" s="94"/>
      <c r="H36" s="94"/>
      <c r="I36" s="94"/>
      <c r="J36" s="114">
        <f t="shared" si="4"/>
        <v>0</v>
      </c>
      <c r="K36" s="166">
        <f t="shared" si="1"/>
        <v>0</v>
      </c>
      <c r="L36" s="109">
        <v>204055</v>
      </c>
    </row>
    <row r="37" spans="1:14" ht="18" customHeight="1">
      <c r="A37" s="78" t="s">
        <v>96</v>
      </c>
      <c r="B37" s="72"/>
      <c r="C37" s="72"/>
      <c r="D37" s="72"/>
      <c r="E37" s="94"/>
      <c r="F37" s="94"/>
      <c r="G37" s="94"/>
      <c r="H37" s="94"/>
      <c r="I37" s="94"/>
      <c r="J37" s="114">
        <f t="shared" si="4"/>
        <v>0</v>
      </c>
      <c r="K37" s="166">
        <f t="shared" si="1"/>
        <v>0</v>
      </c>
      <c r="L37" s="109">
        <v>71070</v>
      </c>
    </row>
    <row r="38" spans="1:14" ht="18" customHeight="1">
      <c r="A38" s="84" t="s">
        <v>92</v>
      </c>
      <c r="B38" s="63"/>
      <c r="C38" s="63"/>
      <c r="D38" s="63"/>
      <c r="E38" s="94">
        <f t="shared" ref="E38:J38" si="5">SUM(E22:E37)</f>
        <v>0</v>
      </c>
      <c r="F38" s="94">
        <f t="shared" si="5"/>
        <v>2019330.4100000001</v>
      </c>
      <c r="G38" s="94">
        <f t="shared" si="5"/>
        <v>0</v>
      </c>
      <c r="H38" s="94">
        <f t="shared" si="5"/>
        <v>0</v>
      </c>
      <c r="I38" s="94">
        <f t="shared" si="5"/>
        <v>0</v>
      </c>
      <c r="J38" s="94">
        <f t="shared" si="5"/>
        <v>2019330.4100000001</v>
      </c>
      <c r="K38" s="166">
        <f t="shared" si="1"/>
        <v>2019330.4100000001</v>
      </c>
      <c r="L38" s="109">
        <v>27800</v>
      </c>
      <c r="M38" s="46"/>
    </row>
    <row r="39" spans="1:14" ht="18" customHeight="1">
      <c r="A39" s="84" t="s">
        <v>103</v>
      </c>
      <c r="B39" s="63"/>
      <c r="C39" s="63"/>
      <c r="D39" s="63"/>
      <c r="E39" s="103">
        <f>SUM('DRRM Funds May 2014 '!E40)</f>
        <v>28983</v>
      </c>
      <c r="F39" s="103">
        <f>SUM('DRRM Funds May 2014 '!F40)</f>
        <v>2728014.3800000004</v>
      </c>
      <c r="G39" s="103">
        <f>SUM('DRRM Funds May 2014 '!G40)</f>
        <v>0</v>
      </c>
      <c r="H39" s="103">
        <f>SUM('DRRM Funds May 2014 '!H40)</f>
        <v>0</v>
      </c>
      <c r="I39" s="103">
        <f>SUM('DRRM Funds May 2014 '!I40)</f>
        <v>0</v>
      </c>
      <c r="J39" s="103">
        <f>SUM('DRRM Funds May 2014 '!J40)</f>
        <v>2756997.3800000004</v>
      </c>
      <c r="K39" s="166">
        <f t="shared" si="1"/>
        <v>2756997.3800000004</v>
      </c>
      <c r="L39" s="109">
        <v>126865</v>
      </c>
      <c r="M39" s="109">
        <f>SUM(E39:H39)</f>
        <v>2756997.3800000004</v>
      </c>
    </row>
    <row r="40" spans="1:14" ht="18" customHeight="1">
      <c r="A40" s="84" t="s">
        <v>104</v>
      </c>
      <c r="B40" s="63"/>
      <c r="C40" s="63"/>
      <c r="D40" s="63"/>
      <c r="E40" s="103">
        <f>SUM(E38:E39)</f>
        <v>28983</v>
      </c>
      <c r="F40" s="103">
        <f>SUM(F38:F39)</f>
        <v>4747344.790000001</v>
      </c>
      <c r="G40" s="103">
        <f t="shared" ref="G40:J40" si="6">SUM(G38:G39)</f>
        <v>0</v>
      </c>
      <c r="H40" s="103">
        <f t="shared" si="6"/>
        <v>0</v>
      </c>
      <c r="I40" s="103">
        <f t="shared" si="6"/>
        <v>0</v>
      </c>
      <c r="J40" s="103">
        <f t="shared" si="6"/>
        <v>4776327.790000001</v>
      </c>
      <c r="K40" s="166">
        <f t="shared" si="1"/>
        <v>4776327.790000001</v>
      </c>
      <c r="L40" s="174">
        <f>SUM(L28:L39)</f>
        <v>6120690</v>
      </c>
      <c r="M40" s="109">
        <v>10492358.970000001</v>
      </c>
    </row>
    <row r="41" spans="1:14" ht="18" customHeight="1">
      <c r="A41" s="70" t="s">
        <v>93</v>
      </c>
      <c r="B41" s="72"/>
      <c r="C41" s="72"/>
      <c r="D41" s="80"/>
      <c r="E41" s="120">
        <f>E20-E38</f>
        <v>12728839.818349998</v>
      </c>
      <c r="F41" s="120">
        <f t="shared" ref="F41:J41" si="7">F20-F38</f>
        <v>21915610.186149996</v>
      </c>
      <c r="G41" s="120">
        <f t="shared" si="7"/>
        <v>0</v>
      </c>
      <c r="H41" s="120">
        <f t="shared" si="7"/>
        <v>10140</v>
      </c>
      <c r="I41" s="120">
        <f t="shared" si="7"/>
        <v>0</v>
      </c>
      <c r="J41" s="120">
        <f t="shared" si="7"/>
        <v>34654590.004500002</v>
      </c>
      <c r="K41" s="166">
        <f>SUM(E41:I41)</f>
        <v>34654590.004499994</v>
      </c>
      <c r="L41" s="46"/>
      <c r="M41" s="109">
        <f>M40-L40</f>
        <v>4371668.9700000007</v>
      </c>
    </row>
    <row r="42" spans="1:14" ht="18" customHeight="1">
      <c r="A42" s="55"/>
      <c r="B42" s="55"/>
      <c r="C42" s="55"/>
      <c r="D42" s="55"/>
      <c r="E42" s="55"/>
      <c r="F42" s="55"/>
      <c r="G42" s="55"/>
      <c r="H42" s="55"/>
      <c r="I42" s="55"/>
      <c r="J42" s="115" t="s">
        <v>74</v>
      </c>
      <c r="K42" s="92">
        <f>SUM(E41:F41)</f>
        <v>34644450.004499994</v>
      </c>
      <c r="M42" s="109">
        <v>0</v>
      </c>
    </row>
    <row r="43" spans="1:14" ht="18" customHeight="1">
      <c r="A43" s="55"/>
      <c r="B43" s="55"/>
      <c r="C43" s="55"/>
      <c r="D43" s="55"/>
      <c r="E43" s="55"/>
      <c r="F43" s="55"/>
      <c r="G43" s="55"/>
      <c r="H43" s="92"/>
      <c r="I43" s="55"/>
      <c r="J43" s="115"/>
      <c r="K43" s="55"/>
      <c r="M43" s="109">
        <v>289860</v>
      </c>
    </row>
    <row r="44" spans="1:14" ht="18" customHeight="1">
      <c r="A44" s="55"/>
      <c r="B44" s="55"/>
      <c r="C44" s="55"/>
      <c r="D44" s="55"/>
      <c r="E44" s="55"/>
      <c r="F44" s="55"/>
      <c r="G44" s="55"/>
      <c r="H44" s="55"/>
      <c r="I44" s="55"/>
      <c r="J44" s="115"/>
      <c r="K44" s="92">
        <f>SUM(E40:F40)</f>
        <v>4776327.790000001</v>
      </c>
      <c r="M44" s="109">
        <f>SUM(M41:M43)</f>
        <v>4661528.9700000007</v>
      </c>
      <c r="N44" s="173">
        <f>SUM(L40+M44)</f>
        <v>10782218.970000001</v>
      </c>
    </row>
    <row r="45" spans="1:14">
      <c r="A45" s="55" t="s">
        <v>83</v>
      </c>
      <c r="B45" s="55"/>
      <c r="C45" s="55"/>
      <c r="D45" s="55"/>
      <c r="E45" s="55"/>
      <c r="F45" s="55"/>
      <c r="G45" s="55"/>
      <c r="H45" s="55" t="s">
        <v>29</v>
      </c>
      <c r="I45" s="55"/>
      <c r="J45" s="115"/>
      <c r="K45" s="55"/>
      <c r="L45" s="109">
        <v>752760</v>
      </c>
    </row>
    <row r="46" spans="1:14">
      <c r="A46" s="55"/>
      <c r="B46" s="55"/>
      <c r="C46" s="55"/>
      <c r="D46" s="55"/>
      <c r="E46" s="55"/>
      <c r="F46" s="55"/>
      <c r="G46" s="55"/>
      <c r="H46" s="55"/>
      <c r="I46" s="55"/>
      <c r="J46" s="115"/>
      <c r="K46" s="55"/>
      <c r="L46" s="109">
        <v>902075</v>
      </c>
    </row>
    <row r="47" spans="1:14">
      <c r="A47" s="55"/>
      <c r="B47" s="55"/>
      <c r="C47" s="55"/>
      <c r="D47" s="55"/>
      <c r="E47" s="55"/>
      <c r="F47" s="55"/>
      <c r="G47" s="55"/>
      <c r="H47" s="172"/>
      <c r="I47" s="55"/>
      <c r="J47" s="115"/>
      <c r="K47" s="55"/>
      <c r="L47" s="109">
        <v>1032329.7</v>
      </c>
      <c r="M47" s="109">
        <v>1897753.11</v>
      </c>
    </row>
    <row r="48" spans="1:14">
      <c r="A48" s="55" t="s">
        <v>84</v>
      </c>
      <c r="B48" s="55"/>
      <c r="C48" s="55"/>
      <c r="D48" s="55"/>
      <c r="E48" s="55"/>
      <c r="F48" s="55"/>
      <c r="G48" s="55"/>
      <c r="H48" s="140" t="s">
        <v>194</v>
      </c>
      <c r="I48" s="55"/>
      <c r="J48" s="115"/>
      <c r="K48" s="55"/>
      <c r="L48" s="109">
        <v>504234.65</v>
      </c>
      <c r="M48" s="109">
        <v>8736531.7100000009</v>
      </c>
    </row>
    <row r="49" spans="1:13">
      <c r="A49" s="140" t="s">
        <v>86</v>
      </c>
      <c r="B49" s="55"/>
      <c r="C49" s="55"/>
      <c r="D49" s="55"/>
      <c r="E49" s="55"/>
      <c r="F49" s="55"/>
      <c r="G49" s="55"/>
      <c r="H49" s="140" t="s">
        <v>195</v>
      </c>
      <c r="I49" s="55"/>
      <c r="J49" s="115"/>
      <c r="K49" s="55"/>
      <c r="L49" s="109">
        <v>899145</v>
      </c>
      <c r="M49" s="109">
        <v>10140</v>
      </c>
    </row>
    <row r="50" spans="1:13">
      <c r="A50" s="55"/>
      <c r="B50" s="55"/>
      <c r="C50" s="55"/>
      <c r="D50" s="55"/>
      <c r="E50" s="121"/>
      <c r="F50" s="55"/>
      <c r="G50" s="55"/>
      <c r="H50" s="55"/>
      <c r="I50" s="55"/>
      <c r="J50" s="115"/>
      <c r="K50" s="55"/>
      <c r="L50" s="109">
        <v>1087927.3999999999</v>
      </c>
      <c r="M50" s="109">
        <f>SUM(M47:M49)</f>
        <v>10644424.82</v>
      </c>
    </row>
    <row r="51" spans="1:13">
      <c r="A51" s="55"/>
      <c r="B51" s="55"/>
      <c r="C51" s="55"/>
      <c r="D51" s="55"/>
      <c r="E51" s="115"/>
      <c r="F51" s="55"/>
      <c r="G51" s="55"/>
      <c r="H51" s="55"/>
      <c r="I51" s="115"/>
      <c r="J51" s="115"/>
      <c r="K51" s="55"/>
      <c r="L51" s="109">
        <v>2896515.5</v>
      </c>
    </row>
    <row r="52" spans="1:13">
      <c r="A52" s="55"/>
      <c r="B52" s="55"/>
      <c r="C52" s="55"/>
      <c r="D52" s="55"/>
      <c r="E52" s="55"/>
      <c r="F52" s="55"/>
      <c r="G52" s="55"/>
      <c r="H52" s="55"/>
      <c r="I52" s="115"/>
      <c r="J52" s="115"/>
      <c r="K52" s="55"/>
      <c r="L52" s="109">
        <v>120000</v>
      </c>
    </row>
    <row r="53" spans="1:13">
      <c r="I53" s="109"/>
      <c r="M53" s="46"/>
    </row>
    <row r="54" spans="1:13">
      <c r="F54" s="121">
        <f>F18-F55</f>
        <v>5075.4572999994271</v>
      </c>
      <c r="I54" s="109"/>
      <c r="K54" s="55"/>
      <c r="L54" s="115">
        <v>630000</v>
      </c>
      <c r="M54" s="183">
        <v>10644424.82</v>
      </c>
    </row>
    <row r="55" spans="1:13">
      <c r="F55" s="115">
        <f>49980+103610+255752.8+265335+81917.75+32889+315132+287135.25+143400+640002.5</f>
        <v>2175154.2999999998</v>
      </c>
      <c r="I55" s="109"/>
      <c r="J55" s="109">
        <v>7850000</v>
      </c>
      <c r="L55" s="109">
        <v>1000000</v>
      </c>
      <c r="M55" s="183">
        <v>13157941.960000001</v>
      </c>
    </row>
    <row r="56" spans="1:13">
      <c r="I56" s="109"/>
      <c r="J56" s="109">
        <v>800000</v>
      </c>
      <c r="L56" s="109">
        <v>1300000</v>
      </c>
      <c r="M56" s="184">
        <v>0</v>
      </c>
    </row>
    <row r="57" spans="1:13">
      <c r="I57" s="109"/>
      <c r="J57" s="109">
        <v>1200000</v>
      </c>
      <c r="L57" s="109">
        <v>2000000</v>
      </c>
      <c r="M57" s="183">
        <f>SUM(M54:M56)</f>
        <v>23802366.780000001</v>
      </c>
    </row>
    <row r="58" spans="1:13">
      <c r="I58" s="109"/>
      <c r="J58" s="109">
        <v>3500000</v>
      </c>
      <c r="L58" s="109">
        <v>150000</v>
      </c>
      <c r="M58" s="183">
        <v>24092226.780000001</v>
      </c>
    </row>
    <row r="59" spans="1:13">
      <c r="I59" s="109">
        <v>100000</v>
      </c>
      <c r="J59" s="116">
        <f>SUM(J55:J58)</f>
        <v>13350000</v>
      </c>
      <c r="L59" s="109">
        <v>4590281.96</v>
      </c>
      <c r="M59" s="183">
        <f>M58-M57</f>
        <v>289860</v>
      </c>
    </row>
    <row r="60" spans="1:13">
      <c r="I60" s="109">
        <v>4589687.1100000003</v>
      </c>
      <c r="J60" s="109">
        <v>16829861.079999998</v>
      </c>
      <c r="L60" s="109">
        <f>SUM(L54:L59)</f>
        <v>9670281.9600000009</v>
      </c>
      <c r="M60" s="46"/>
    </row>
    <row r="61" spans="1:13">
      <c r="I61" s="116">
        <f>SUM(I55:I60)</f>
        <v>4689687.1100000003</v>
      </c>
      <c r="J61" s="109">
        <f>J59-J60</f>
        <v>-3479861.0799999982</v>
      </c>
      <c r="M61" s="109">
        <v>24416573.030000001</v>
      </c>
    </row>
    <row r="62" spans="1:13">
      <c r="I62" s="109">
        <v>7212797.6100000003</v>
      </c>
      <c r="M62" s="109">
        <v>24708913.030000001</v>
      </c>
    </row>
    <row r="63" spans="1:13">
      <c r="I63" s="109">
        <f>I61-I62</f>
        <v>-2523110.5</v>
      </c>
      <c r="M63" s="109">
        <f>M61-M62</f>
        <v>-292340</v>
      </c>
    </row>
    <row r="64" spans="1:13">
      <c r="I64" s="109"/>
      <c r="M64" s="109">
        <v>289860</v>
      </c>
    </row>
    <row r="65" spans="1:13">
      <c r="I65" s="109"/>
      <c r="J65" s="109">
        <v>25346381.800000001</v>
      </c>
      <c r="M65" s="173">
        <f>SUM(M63:M64)</f>
        <v>-2480</v>
      </c>
    </row>
    <row r="66" spans="1:13">
      <c r="I66" s="109"/>
      <c r="J66" s="109">
        <v>24042658.690000001</v>
      </c>
      <c r="M66" s="46"/>
    </row>
    <row r="67" spans="1:13">
      <c r="I67" s="109"/>
      <c r="J67" s="109">
        <f>J65-J66</f>
        <v>1303723.1099999994</v>
      </c>
      <c r="L67" s="109">
        <v>400000</v>
      </c>
      <c r="M67" s="46"/>
    </row>
    <row r="68" spans="1:13">
      <c r="I68" s="109"/>
      <c r="L68" s="109">
        <v>1000000</v>
      </c>
      <c r="M68" s="109">
        <v>25279.7</v>
      </c>
    </row>
    <row r="69" spans="1:13">
      <c r="I69" s="109"/>
      <c r="M69" s="109">
        <v>27759.7</v>
      </c>
    </row>
    <row r="70" spans="1:13">
      <c r="H70" s="109"/>
      <c r="I70" s="109"/>
      <c r="M70" s="173">
        <f>M68-M69</f>
        <v>-2480</v>
      </c>
    </row>
    <row r="71" spans="1:13">
      <c r="H71" s="109">
        <v>4455551.57</v>
      </c>
      <c r="I71" s="109"/>
      <c r="J71" s="109">
        <v>17496381.800000001</v>
      </c>
      <c r="M71" s="46"/>
    </row>
    <row r="72" spans="1:13">
      <c r="H72" s="109">
        <v>5760963.6399999997</v>
      </c>
      <c r="I72" s="109"/>
      <c r="J72" s="109">
        <v>7850000</v>
      </c>
      <c r="M72" s="46"/>
    </row>
    <row r="73" spans="1:13">
      <c r="H73" s="109">
        <f>SUM(H71:H72)</f>
        <v>10216515.210000001</v>
      </c>
      <c r="I73" s="109"/>
      <c r="J73" s="109">
        <f>SUM(J71:J72)</f>
        <v>25346381.800000001</v>
      </c>
      <c r="M73" s="46"/>
    </row>
    <row r="74" spans="1:13" s="109" customFormat="1">
      <c r="A74" s="46"/>
      <c r="B74" s="46"/>
      <c r="C74" s="46"/>
      <c r="D74" s="46"/>
      <c r="E74" s="46"/>
      <c r="F74" s="46"/>
      <c r="G74" s="46"/>
    </row>
    <row r="75" spans="1:13" s="109" customFormat="1">
      <c r="A75" s="46"/>
      <c r="B75" s="46"/>
      <c r="C75" s="46"/>
      <c r="D75" s="46"/>
      <c r="E75" s="46"/>
      <c r="F75" s="46"/>
      <c r="G75" s="46"/>
    </row>
    <row r="76" spans="1:13" s="109" customFormat="1">
      <c r="A76" s="46"/>
      <c r="B76" s="46"/>
      <c r="C76" s="46"/>
      <c r="D76" s="46"/>
      <c r="E76" s="46"/>
      <c r="F76" s="46"/>
      <c r="G76" s="46"/>
    </row>
    <row r="77" spans="1:13" s="109" customFormat="1">
      <c r="A77" s="46"/>
      <c r="B77" s="46"/>
      <c r="C77" s="46"/>
      <c r="D77" s="46"/>
      <c r="E77" s="46"/>
      <c r="F77" s="46"/>
      <c r="G77" s="46"/>
    </row>
    <row r="78" spans="1:13" s="109" customFormat="1">
      <c r="A78" s="46"/>
      <c r="B78" s="46"/>
      <c r="C78" s="46"/>
      <c r="D78" s="46"/>
      <c r="E78" s="46"/>
      <c r="F78" s="46"/>
      <c r="G78" s="46"/>
    </row>
    <row r="79" spans="1:13" s="109" customFormat="1">
      <c r="A79" s="46"/>
      <c r="B79" s="46"/>
      <c r="C79" s="46"/>
      <c r="D79" s="46"/>
      <c r="E79" s="46"/>
      <c r="F79" s="46"/>
      <c r="G79" s="46"/>
    </row>
    <row r="80" spans="1:13" s="109" customFormat="1">
      <c r="A80" s="46"/>
      <c r="B80" s="46"/>
      <c r="C80" s="46"/>
      <c r="D80" s="46"/>
      <c r="E80" s="46"/>
      <c r="F80" s="46"/>
      <c r="G80" s="46"/>
      <c r="H80" s="46"/>
    </row>
    <row r="81" spans="1:11" s="109" customFormat="1">
      <c r="A81" s="46"/>
      <c r="B81" s="46"/>
      <c r="C81" s="46"/>
      <c r="D81" s="46"/>
      <c r="E81" s="46"/>
      <c r="F81" s="46"/>
      <c r="G81" s="46"/>
      <c r="H81" s="46"/>
    </row>
    <row r="82" spans="1:11" s="109" customFormat="1">
      <c r="A82" s="46"/>
      <c r="B82" s="46"/>
      <c r="C82" s="46"/>
      <c r="D82" s="46"/>
      <c r="E82" s="46"/>
      <c r="F82" s="46"/>
      <c r="G82" s="46"/>
      <c r="H82" s="46"/>
    </row>
    <row r="83" spans="1:11" s="109" customFormat="1">
      <c r="A83" s="46"/>
      <c r="B83" s="46"/>
      <c r="C83" s="46"/>
      <c r="D83" s="46"/>
      <c r="E83" s="46"/>
      <c r="F83" s="46"/>
      <c r="G83" s="46"/>
      <c r="H83" s="46"/>
    </row>
    <row r="84" spans="1:11" s="109" customFormat="1">
      <c r="A84" s="46"/>
      <c r="B84" s="46"/>
      <c r="C84" s="46"/>
      <c r="D84" s="46"/>
      <c r="E84" s="46"/>
      <c r="F84" s="46"/>
      <c r="G84" s="46"/>
      <c r="H84" s="46"/>
      <c r="K84" s="46"/>
    </row>
    <row r="85" spans="1:11" s="109" customFormat="1">
      <c r="A85" s="46"/>
      <c r="B85" s="46"/>
      <c r="C85" s="46"/>
      <c r="D85" s="46"/>
      <c r="E85" s="46"/>
      <c r="F85" s="46"/>
      <c r="G85" s="46"/>
      <c r="H85" s="46"/>
      <c r="K85" s="46"/>
    </row>
    <row r="86" spans="1:11" s="109" customFormat="1">
      <c r="A86" s="46"/>
      <c r="B86" s="46"/>
      <c r="C86" s="46"/>
      <c r="D86" s="46"/>
      <c r="E86" s="46"/>
      <c r="F86" s="46"/>
      <c r="G86" s="46"/>
      <c r="H86" s="46"/>
      <c r="K86" s="46"/>
    </row>
    <row r="87" spans="1:11" s="109" customFormat="1">
      <c r="A87" s="46"/>
      <c r="B87" s="46"/>
      <c r="C87" s="46"/>
      <c r="D87" s="46"/>
      <c r="E87" s="46"/>
      <c r="F87" s="46"/>
      <c r="G87" s="46"/>
      <c r="H87" s="46"/>
      <c r="K87" s="46"/>
    </row>
    <row r="88" spans="1:11" s="109" customFormat="1">
      <c r="A88" s="46"/>
      <c r="B88" s="46"/>
      <c r="C88" s="46"/>
      <c r="D88" s="46"/>
      <c r="E88" s="46"/>
      <c r="F88" s="46"/>
      <c r="G88" s="46"/>
      <c r="H88" s="46"/>
      <c r="K88" s="46"/>
    </row>
    <row r="89" spans="1:11" s="109" customFormat="1">
      <c r="A89" s="46"/>
      <c r="B89" s="46"/>
      <c r="C89" s="46"/>
      <c r="D89" s="46"/>
      <c r="E89" s="46"/>
      <c r="F89" s="46"/>
      <c r="G89" s="46"/>
      <c r="H89" s="46"/>
      <c r="K89" s="46"/>
    </row>
    <row r="90" spans="1:11" s="109" customFormat="1">
      <c r="A90" s="46"/>
      <c r="B90" s="46"/>
      <c r="C90" s="46"/>
      <c r="D90" s="46"/>
      <c r="E90" s="46"/>
      <c r="F90" s="46"/>
      <c r="G90" s="46"/>
      <c r="H90" s="46"/>
      <c r="K90" s="46"/>
    </row>
    <row r="91" spans="1:11" s="109" customFormat="1">
      <c r="A91" s="46"/>
      <c r="B91" s="46"/>
      <c r="C91" s="46"/>
      <c r="D91" s="46"/>
      <c r="E91" s="46"/>
      <c r="F91" s="46"/>
      <c r="G91" s="46"/>
      <c r="H91" s="46"/>
      <c r="K91" s="46"/>
    </row>
    <row r="92" spans="1:11" s="109" customFormat="1">
      <c r="A92" s="46"/>
      <c r="B92" s="46"/>
      <c r="C92" s="46"/>
      <c r="D92" s="46"/>
      <c r="E92" s="46"/>
      <c r="F92" s="46"/>
      <c r="G92" s="46"/>
      <c r="H92" s="46"/>
      <c r="K92" s="46"/>
    </row>
    <row r="93" spans="1:11" s="109" customFormat="1">
      <c r="A93" s="46"/>
      <c r="B93" s="46"/>
      <c r="C93" s="46"/>
      <c r="D93" s="46"/>
      <c r="E93" s="46"/>
      <c r="F93" s="46"/>
      <c r="G93" s="46"/>
      <c r="H93" s="46"/>
      <c r="K93" s="46"/>
    </row>
    <row r="94" spans="1:11" s="109" customFormat="1">
      <c r="A94" s="46"/>
      <c r="B94" s="46"/>
      <c r="C94" s="46"/>
      <c r="D94" s="46"/>
      <c r="E94" s="46"/>
      <c r="F94" s="46"/>
      <c r="G94" s="46"/>
      <c r="H94" s="46"/>
      <c r="K94" s="46"/>
    </row>
    <row r="95" spans="1:11" s="109" customFormat="1">
      <c r="A95" s="46"/>
      <c r="B95" s="46"/>
      <c r="C95" s="46"/>
      <c r="D95" s="46"/>
      <c r="E95" s="46"/>
      <c r="F95" s="46"/>
      <c r="G95" s="46"/>
      <c r="H95" s="46"/>
      <c r="K95" s="46"/>
    </row>
    <row r="96" spans="1:11" s="109" customFormat="1">
      <c r="A96" s="46"/>
      <c r="B96" s="46"/>
      <c r="C96" s="46"/>
      <c r="D96" s="46"/>
      <c r="E96" s="46"/>
      <c r="F96" s="46"/>
      <c r="G96" s="46"/>
      <c r="H96" s="46"/>
      <c r="K96" s="46"/>
    </row>
    <row r="97" spans="1:11" s="109" customFormat="1">
      <c r="A97" s="46"/>
      <c r="B97" s="46"/>
      <c r="C97" s="46"/>
      <c r="D97" s="46"/>
      <c r="E97" s="46"/>
      <c r="F97" s="46"/>
      <c r="G97" s="46"/>
      <c r="H97" s="46"/>
      <c r="K97" s="46"/>
    </row>
    <row r="98" spans="1:11" s="109" customFormat="1">
      <c r="A98" s="46"/>
      <c r="B98" s="46"/>
      <c r="C98" s="46"/>
      <c r="D98" s="46"/>
      <c r="E98" s="46"/>
      <c r="F98" s="46"/>
      <c r="G98" s="46"/>
      <c r="H98" s="46"/>
      <c r="K98" s="46"/>
    </row>
    <row r="99" spans="1:11" s="109" customFormat="1">
      <c r="A99" s="46"/>
      <c r="B99" s="46"/>
      <c r="C99" s="46"/>
      <c r="D99" s="46"/>
      <c r="E99" s="46"/>
      <c r="F99" s="46"/>
      <c r="G99" s="46"/>
      <c r="H99" s="46"/>
      <c r="K99" s="46"/>
    </row>
    <row r="100" spans="1:11" s="109" customFormat="1">
      <c r="A100" s="46"/>
      <c r="B100" s="46"/>
      <c r="C100" s="46"/>
      <c r="D100" s="46"/>
      <c r="E100" s="46"/>
      <c r="F100" s="46"/>
      <c r="G100" s="46"/>
      <c r="H100" s="46"/>
      <c r="K100" s="46"/>
    </row>
    <row r="101" spans="1:11" s="109" customFormat="1">
      <c r="A101" s="46"/>
      <c r="B101" s="46"/>
      <c r="C101" s="46"/>
      <c r="D101" s="46"/>
      <c r="E101" s="46"/>
      <c r="F101" s="46"/>
      <c r="G101" s="46"/>
      <c r="H101" s="46"/>
      <c r="K101" s="46"/>
    </row>
    <row r="102" spans="1:11" s="109" customFormat="1">
      <c r="A102" s="46"/>
      <c r="B102" s="46"/>
      <c r="C102" s="46"/>
      <c r="D102" s="46"/>
      <c r="E102" s="46"/>
      <c r="F102" s="46"/>
      <c r="G102" s="46"/>
      <c r="H102" s="46"/>
      <c r="K102" s="46"/>
    </row>
    <row r="103" spans="1:11" s="109" customFormat="1">
      <c r="A103" s="46"/>
      <c r="B103" s="46"/>
      <c r="C103" s="46"/>
      <c r="D103" s="46"/>
      <c r="E103" s="46"/>
      <c r="F103" s="46"/>
      <c r="G103" s="46"/>
      <c r="H103" s="46"/>
      <c r="K103" s="46"/>
    </row>
    <row r="104" spans="1:11" s="109" customFormat="1">
      <c r="A104" s="46"/>
      <c r="B104" s="46"/>
      <c r="C104" s="46"/>
      <c r="D104" s="46"/>
      <c r="E104" s="46"/>
      <c r="F104" s="46"/>
      <c r="G104" s="46"/>
      <c r="H104" s="46"/>
      <c r="K104" s="46"/>
    </row>
    <row r="105" spans="1:11" s="109" customFormat="1">
      <c r="A105" s="46"/>
      <c r="B105" s="46"/>
      <c r="C105" s="46"/>
      <c r="D105" s="46"/>
      <c r="E105" s="46"/>
      <c r="F105" s="46"/>
      <c r="G105" s="46"/>
      <c r="H105" s="46"/>
      <c r="K105" s="46"/>
    </row>
    <row r="106" spans="1:11" s="109" customFormat="1">
      <c r="A106" s="46"/>
      <c r="B106" s="46"/>
      <c r="C106" s="46"/>
      <c r="D106" s="46"/>
      <c r="E106" s="46"/>
      <c r="F106" s="46"/>
      <c r="G106" s="46"/>
      <c r="H106" s="46"/>
      <c r="K106" s="46"/>
    </row>
    <row r="107" spans="1:11" s="109" customFormat="1">
      <c r="A107" s="46"/>
      <c r="B107" s="46"/>
      <c r="C107" s="46"/>
      <c r="D107" s="46"/>
      <c r="E107" s="46"/>
      <c r="F107" s="46"/>
      <c r="G107" s="46"/>
      <c r="H107" s="46"/>
      <c r="K107" s="46"/>
    </row>
    <row r="108" spans="1:11" s="109" customFormat="1">
      <c r="A108" s="46"/>
      <c r="B108" s="46"/>
      <c r="C108" s="46"/>
      <c r="D108" s="46"/>
      <c r="E108" s="46"/>
      <c r="F108" s="46"/>
      <c r="G108" s="46"/>
      <c r="H108" s="46"/>
      <c r="K108" s="46"/>
    </row>
    <row r="109" spans="1:11" s="109" customFormat="1">
      <c r="A109" s="46"/>
      <c r="B109" s="46"/>
      <c r="C109" s="46"/>
      <c r="D109" s="46"/>
      <c r="E109" s="46"/>
      <c r="F109" s="46"/>
      <c r="G109" s="46"/>
      <c r="H109" s="46"/>
      <c r="K109" s="46"/>
    </row>
    <row r="110" spans="1:11" s="109" customFormat="1">
      <c r="A110" s="46"/>
      <c r="B110" s="46"/>
      <c r="C110" s="46"/>
      <c r="D110" s="46"/>
      <c r="E110" s="46"/>
      <c r="F110" s="46"/>
      <c r="G110" s="46"/>
      <c r="H110" s="46"/>
      <c r="K110" s="46"/>
    </row>
    <row r="111" spans="1:11" s="109" customFormat="1">
      <c r="A111" s="46"/>
      <c r="B111" s="46"/>
      <c r="C111" s="46"/>
      <c r="D111" s="46"/>
      <c r="E111" s="46"/>
      <c r="F111" s="46"/>
      <c r="G111" s="46"/>
      <c r="H111" s="46"/>
      <c r="K111" s="46"/>
    </row>
    <row r="112" spans="1:11" s="109" customFormat="1">
      <c r="A112" s="46"/>
      <c r="B112" s="46"/>
      <c r="C112" s="46"/>
      <c r="D112" s="46"/>
      <c r="E112" s="46"/>
      <c r="F112" s="46"/>
      <c r="G112" s="46"/>
      <c r="H112" s="46"/>
      <c r="K112" s="46"/>
    </row>
    <row r="113" spans="1:11" s="109" customFormat="1">
      <c r="A113" s="46"/>
      <c r="B113" s="46"/>
      <c r="C113" s="46"/>
      <c r="D113" s="46"/>
      <c r="E113" s="46"/>
      <c r="F113" s="46"/>
      <c r="G113" s="46"/>
      <c r="H113" s="46"/>
      <c r="K113" s="46"/>
    </row>
    <row r="114" spans="1:11" s="109" customFormat="1">
      <c r="A114" s="46"/>
      <c r="B114" s="46"/>
      <c r="C114" s="46"/>
      <c r="D114" s="46"/>
      <c r="E114" s="46"/>
      <c r="F114" s="46"/>
      <c r="G114" s="46"/>
      <c r="H114" s="46"/>
      <c r="K114" s="46"/>
    </row>
    <row r="115" spans="1:11" s="109" customFormat="1">
      <c r="A115" s="46"/>
      <c r="B115" s="46"/>
      <c r="C115" s="46"/>
      <c r="D115" s="46"/>
      <c r="E115" s="46"/>
      <c r="F115" s="46"/>
      <c r="G115" s="46"/>
      <c r="H115" s="46"/>
      <c r="K115" s="46"/>
    </row>
    <row r="116" spans="1:11" s="109" customFormat="1">
      <c r="A116" s="46"/>
      <c r="B116" s="46"/>
      <c r="C116" s="46"/>
      <c r="D116" s="46"/>
      <c r="E116" s="46"/>
      <c r="F116" s="46"/>
      <c r="G116" s="46"/>
      <c r="H116" s="46"/>
      <c r="K116" s="46"/>
    </row>
    <row r="117" spans="1:11" s="109" customFormat="1">
      <c r="A117" s="46"/>
      <c r="B117" s="46"/>
      <c r="C117" s="46"/>
      <c r="D117" s="46"/>
      <c r="E117" s="46"/>
      <c r="F117" s="46"/>
      <c r="G117" s="46"/>
      <c r="H117" s="46"/>
      <c r="K117" s="46"/>
    </row>
    <row r="118" spans="1:11" s="109" customFormat="1">
      <c r="A118" s="46"/>
      <c r="B118" s="46"/>
      <c r="C118" s="46"/>
      <c r="D118" s="46"/>
      <c r="E118" s="46"/>
      <c r="F118" s="46"/>
      <c r="G118" s="46"/>
      <c r="H118" s="46"/>
      <c r="K118" s="46"/>
    </row>
    <row r="119" spans="1:11" s="109" customFormat="1">
      <c r="A119" s="46"/>
      <c r="B119" s="46"/>
      <c r="C119" s="46"/>
      <c r="D119" s="46"/>
      <c r="E119" s="46"/>
      <c r="F119" s="46"/>
      <c r="G119" s="46"/>
      <c r="H119" s="46"/>
      <c r="K119" s="46"/>
    </row>
    <row r="120" spans="1:11" s="109" customFormat="1">
      <c r="A120" s="46"/>
      <c r="B120" s="46"/>
      <c r="C120" s="46"/>
      <c r="D120" s="46"/>
      <c r="E120" s="46"/>
      <c r="F120" s="46"/>
      <c r="G120" s="46"/>
      <c r="H120" s="46"/>
      <c r="K120" s="46"/>
    </row>
    <row r="121" spans="1:11" s="109" customFormat="1">
      <c r="A121" s="46"/>
      <c r="B121" s="46"/>
      <c r="C121" s="46"/>
      <c r="D121" s="46"/>
      <c r="E121" s="46"/>
      <c r="F121" s="46"/>
      <c r="G121" s="46"/>
      <c r="H121" s="46"/>
      <c r="K121" s="46"/>
    </row>
    <row r="122" spans="1:11" s="109" customFormat="1">
      <c r="A122" s="46"/>
      <c r="B122" s="46"/>
      <c r="C122" s="46"/>
      <c r="D122" s="46"/>
      <c r="E122" s="46"/>
      <c r="F122" s="46"/>
      <c r="G122" s="46"/>
      <c r="H122" s="46"/>
      <c r="K122" s="46"/>
    </row>
    <row r="123" spans="1:11" s="109" customFormat="1">
      <c r="A123" s="46"/>
      <c r="B123" s="46"/>
      <c r="C123" s="46"/>
      <c r="D123" s="46"/>
      <c r="E123" s="46"/>
      <c r="F123" s="46"/>
      <c r="G123" s="46"/>
      <c r="H123" s="46"/>
      <c r="K123" s="46"/>
    </row>
    <row r="124" spans="1:11" s="109" customFormat="1">
      <c r="A124" s="46"/>
      <c r="B124" s="46"/>
      <c r="C124" s="46"/>
      <c r="D124" s="46"/>
      <c r="E124" s="46"/>
      <c r="F124" s="46"/>
      <c r="G124" s="46"/>
      <c r="H124" s="46"/>
      <c r="K124" s="46"/>
    </row>
    <row r="125" spans="1:11" s="109" customFormat="1">
      <c r="A125" s="46"/>
      <c r="B125" s="46"/>
      <c r="C125" s="46"/>
      <c r="D125" s="46"/>
      <c r="E125" s="46"/>
      <c r="F125" s="46"/>
      <c r="G125" s="46"/>
      <c r="H125" s="46"/>
      <c r="K125" s="46"/>
    </row>
    <row r="126" spans="1:11" s="109" customFormat="1">
      <c r="A126" s="46"/>
      <c r="B126" s="46"/>
      <c r="C126" s="46"/>
      <c r="D126" s="46"/>
      <c r="E126" s="46"/>
      <c r="F126" s="46"/>
      <c r="G126" s="46"/>
      <c r="H126" s="46"/>
      <c r="K126" s="46"/>
    </row>
    <row r="127" spans="1:11" s="109" customFormat="1">
      <c r="A127" s="46"/>
      <c r="B127" s="46"/>
      <c r="C127" s="46"/>
      <c r="D127" s="46"/>
      <c r="E127" s="46"/>
      <c r="F127" s="46"/>
      <c r="G127" s="46"/>
      <c r="H127" s="46"/>
      <c r="K127" s="46"/>
    </row>
    <row r="128" spans="1:11" s="109" customFormat="1">
      <c r="A128" s="46"/>
      <c r="B128" s="46"/>
      <c r="C128" s="46"/>
      <c r="D128" s="46"/>
      <c r="E128" s="46"/>
      <c r="F128" s="46"/>
      <c r="G128" s="46"/>
      <c r="H128" s="46"/>
      <c r="K128" s="46"/>
    </row>
    <row r="129" spans="1:11" s="109" customFormat="1">
      <c r="A129" s="46"/>
      <c r="B129" s="46"/>
      <c r="C129" s="46"/>
      <c r="D129" s="46"/>
      <c r="E129" s="46"/>
      <c r="F129" s="46"/>
      <c r="G129" s="46"/>
      <c r="H129" s="46"/>
      <c r="K129" s="46"/>
    </row>
    <row r="130" spans="1:11" s="109" customFormat="1">
      <c r="A130" s="46"/>
      <c r="B130" s="46"/>
      <c r="C130" s="46"/>
      <c r="D130" s="46"/>
      <c r="E130" s="46"/>
      <c r="F130" s="46"/>
      <c r="G130" s="46"/>
      <c r="H130" s="46"/>
      <c r="K130" s="46"/>
    </row>
    <row r="131" spans="1:11" s="109" customFormat="1">
      <c r="A131" s="46"/>
      <c r="B131" s="46"/>
      <c r="C131" s="46"/>
      <c r="D131" s="46"/>
      <c r="E131" s="46"/>
      <c r="F131" s="46"/>
      <c r="G131" s="46"/>
      <c r="H131" s="46"/>
      <c r="K131" s="46"/>
    </row>
    <row r="132" spans="1:11" s="109" customFormat="1">
      <c r="A132" s="46"/>
      <c r="B132" s="46"/>
      <c r="C132" s="46"/>
      <c r="D132" s="46"/>
      <c r="E132" s="46"/>
      <c r="F132" s="46"/>
      <c r="G132" s="46"/>
      <c r="H132" s="46"/>
      <c r="K132" s="46"/>
    </row>
    <row r="133" spans="1:11" s="109" customFormat="1">
      <c r="A133" s="46"/>
      <c r="B133" s="46"/>
      <c r="C133" s="46"/>
      <c r="D133" s="46"/>
      <c r="E133" s="46"/>
      <c r="F133" s="46"/>
      <c r="G133" s="46"/>
      <c r="H133" s="46"/>
      <c r="K133" s="46"/>
    </row>
    <row r="134" spans="1:11" s="109" customFormat="1">
      <c r="A134" s="46"/>
      <c r="B134" s="46"/>
      <c r="C134" s="46"/>
      <c r="D134" s="46"/>
      <c r="E134" s="46"/>
      <c r="F134" s="46"/>
      <c r="G134" s="46"/>
      <c r="H134" s="46"/>
      <c r="K134" s="46"/>
    </row>
    <row r="135" spans="1:11" s="109" customFormat="1">
      <c r="A135" s="46"/>
      <c r="B135" s="46"/>
      <c r="C135" s="46"/>
      <c r="D135" s="46"/>
      <c r="E135" s="46"/>
      <c r="F135" s="46"/>
      <c r="G135" s="46"/>
      <c r="H135" s="46"/>
      <c r="K135" s="46"/>
    </row>
    <row r="136" spans="1:11" s="109" customFormat="1">
      <c r="A136" s="46"/>
      <c r="B136" s="46"/>
      <c r="C136" s="46"/>
      <c r="D136" s="46"/>
      <c r="E136" s="46"/>
      <c r="F136" s="46"/>
      <c r="G136" s="46"/>
      <c r="H136" s="46"/>
      <c r="K136" s="46"/>
    </row>
    <row r="137" spans="1:11" s="109" customFormat="1">
      <c r="A137" s="46"/>
      <c r="B137" s="46"/>
      <c r="C137" s="46"/>
      <c r="D137" s="46"/>
      <c r="E137" s="46"/>
      <c r="F137" s="46"/>
      <c r="G137" s="46"/>
      <c r="H137" s="46"/>
      <c r="K137" s="46"/>
    </row>
    <row r="138" spans="1:11" s="109" customFormat="1">
      <c r="A138" s="46"/>
      <c r="B138" s="46"/>
      <c r="C138" s="46"/>
      <c r="D138" s="46"/>
      <c r="E138" s="46"/>
      <c r="F138" s="46"/>
      <c r="G138" s="46"/>
      <c r="H138" s="46"/>
      <c r="K138" s="46"/>
    </row>
    <row r="139" spans="1:11" s="109" customFormat="1">
      <c r="A139" s="46"/>
      <c r="B139" s="46"/>
      <c r="C139" s="46"/>
      <c r="D139" s="46"/>
      <c r="E139" s="46"/>
      <c r="F139" s="46"/>
      <c r="G139" s="46"/>
      <c r="H139" s="46"/>
      <c r="K139" s="46"/>
    </row>
    <row r="140" spans="1:11" s="109" customFormat="1">
      <c r="A140" s="46"/>
      <c r="B140" s="46"/>
      <c r="C140" s="46"/>
      <c r="D140" s="46"/>
      <c r="E140" s="46"/>
      <c r="F140" s="46"/>
      <c r="G140" s="46"/>
      <c r="H140" s="46"/>
      <c r="K140" s="46"/>
    </row>
    <row r="141" spans="1:11" s="109" customFormat="1">
      <c r="A141" s="46"/>
      <c r="B141" s="46"/>
      <c r="C141" s="46"/>
      <c r="D141" s="46"/>
      <c r="E141" s="46"/>
      <c r="F141" s="46"/>
      <c r="G141" s="46"/>
      <c r="H141" s="46"/>
      <c r="K141" s="46"/>
    </row>
    <row r="142" spans="1:11" s="109" customFormat="1">
      <c r="A142" s="46"/>
      <c r="B142" s="46"/>
      <c r="C142" s="46"/>
      <c r="D142" s="46"/>
      <c r="E142" s="46"/>
      <c r="F142" s="46"/>
      <c r="G142" s="46"/>
      <c r="H142" s="46"/>
      <c r="K142" s="46"/>
    </row>
    <row r="143" spans="1:11" s="109" customFormat="1">
      <c r="A143" s="46"/>
      <c r="B143" s="46"/>
      <c r="C143" s="46"/>
      <c r="D143" s="46"/>
      <c r="E143" s="46"/>
      <c r="F143" s="46"/>
      <c r="G143" s="46"/>
      <c r="H143" s="46"/>
      <c r="K143" s="46"/>
    </row>
    <row r="144" spans="1:11" s="109" customFormat="1">
      <c r="A144" s="46"/>
      <c r="B144" s="46"/>
      <c r="C144" s="46"/>
      <c r="D144" s="46"/>
      <c r="E144" s="46"/>
      <c r="F144" s="46"/>
      <c r="G144" s="46"/>
      <c r="H144" s="46"/>
      <c r="K144" s="46"/>
    </row>
    <row r="145" spans="1:11" s="109" customFormat="1">
      <c r="A145" s="46"/>
      <c r="B145" s="46"/>
      <c r="C145" s="46"/>
      <c r="D145" s="46"/>
      <c r="E145" s="46"/>
      <c r="F145" s="46"/>
      <c r="G145" s="46"/>
      <c r="H145" s="46"/>
      <c r="K145" s="46"/>
    </row>
    <row r="146" spans="1:11" s="109" customFormat="1">
      <c r="A146" s="46"/>
      <c r="B146" s="46"/>
      <c r="C146" s="46"/>
      <c r="D146" s="46"/>
      <c r="E146" s="46"/>
      <c r="F146" s="46"/>
      <c r="G146" s="46"/>
      <c r="H146" s="46"/>
      <c r="K146" s="46"/>
    </row>
    <row r="147" spans="1:11" s="109" customFormat="1">
      <c r="A147" s="46"/>
      <c r="B147" s="46"/>
      <c r="C147" s="46"/>
      <c r="D147" s="46"/>
      <c r="E147" s="46"/>
      <c r="F147" s="46"/>
      <c r="G147" s="46"/>
      <c r="H147" s="46"/>
      <c r="K147" s="46"/>
    </row>
    <row r="148" spans="1:11" s="109" customFormat="1">
      <c r="A148" s="46"/>
      <c r="B148" s="46"/>
      <c r="C148" s="46"/>
      <c r="D148" s="46"/>
      <c r="E148" s="46"/>
      <c r="F148" s="46"/>
      <c r="G148" s="46"/>
      <c r="H148" s="46"/>
      <c r="K148" s="46"/>
    </row>
    <row r="149" spans="1:11" s="109" customFormat="1">
      <c r="A149" s="46"/>
      <c r="B149" s="46"/>
      <c r="C149" s="46"/>
      <c r="D149" s="46"/>
      <c r="E149" s="46"/>
      <c r="F149" s="46"/>
      <c r="G149" s="46"/>
      <c r="H149" s="46"/>
      <c r="K149" s="46"/>
    </row>
    <row r="150" spans="1:11" s="109" customFormat="1">
      <c r="A150" s="46"/>
      <c r="B150" s="46"/>
      <c r="C150" s="46"/>
      <c r="D150" s="46"/>
      <c r="E150" s="46"/>
      <c r="F150" s="46"/>
      <c r="G150" s="46"/>
      <c r="H150" s="46"/>
      <c r="K150" s="46"/>
    </row>
    <row r="151" spans="1:11" s="109" customFormat="1">
      <c r="A151" s="46"/>
      <c r="B151" s="46"/>
      <c r="C151" s="46"/>
      <c r="D151" s="46"/>
      <c r="E151" s="46"/>
      <c r="F151" s="46"/>
      <c r="G151" s="46"/>
      <c r="H151" s="46"/>
      <c r="K151" s="46"/>
    </row>
    <row r="152" spans="1:11" s="109" customFormat="1">
      <c r="A152" s="46"/>
      <c r="B152" s="46"/>
      <c r="C152" s="46"/>
      <c r="D152" s="46"/>
      <c r="E152" s="46"/>
      <c r="F152" s="46"/>
      <c r="G152" s="46"/>
      <c r="H152" s="46"/>
      <c r="K152" s="46"/>
    </row>
    <row r="153" spans="1:11" s="109" customFormat="1">
      <c r="A153" s="46"/>
      <c r="B153" s="46"/>
      <c r="C153" s="46"/>
      <c r="D153" s="46"/>
      <c r="E153" s="46"/>
      <c r="F153" s="46"/>
      <c r="G153" s="46"/>
      <c r="H153" s="46"/>
      <c r="K153" s="46"/>
    </row>
    <row r="154" spans="1:11" s="109" customFormat="1">
      <c r="A154" s="46"/>
      <c r="B154" s="46"/>
      <c r="C154" s="46"/>
      <c r="D154" s="46"/>
      <c r="E154" s="46"/>
      <c r="F154" s="46"/>
      <c r="G154" s="46"/>
      <c r="H154" s="46"/>
      <c r="K154" s="46"/>
    </row>
    <row r="155" spans="1:11" s="109" customFormat="1">
      <c r="A155" s="46"/>
      <c r="B155" s="46"/>
      <c r="C155" s="46"/>
      <c r="D155" s="46"/>
      <c r="E155" s="46"/>
      <c r="F155" s="46"/>
      <c r="G155" s="46"/>
      <c r="H155" s="46"/>
      <c r="K155" s="46"/>
    </row>
    <row r="156" spans="1:11" s="109" customFormat="1">
      <c r="A156" s="46"/>
      <c r="B156" s="46"/>
      <c r="C156" s="46"/>
      <c r="D156" s="46"/>
      <c r="E156" s="46"/>
      <c r="F156" s="46"/>
      <c r="G156" s="46"/>
      <c r="H156" s="46"/>
      <c r="K156" s="46"/>
    </row>
    <row r="157" spans="1:11" s="109" customFormat="1">
      <c r="A157" s="46"/>
      <c r="B157" s="46"/>
      <c r="C157" s="46"/>
      <c r="D157" s="46"/>
      <c r="E157" s="46"/>
      <c r="F157" s="46"/>
      <c r="G157" s="46"/>
      <c r="H157" s="46"/>
      <c r="K157" s="46"/>
    </row>
    <row r="158" spans="1:11" s="109" customFormat="1">
      <c r="A158" s="46"/>
      <c r="B158" s="46"/>
      <c r="C158" s="46"/>
      <c r="D158" s="46"/>
      <c r="E158" s="46"/>
      <c r="F158" s="46"/>
      <c r="G158" s="46"/>
      <c r="H158" s="46"/>
      <c r="K158" s="46"/>
    </row>
    <row r="159" spans="1:11" s="109" customFormat="1">
      <c r="A159" s="46"/>
      <c r="B159" s="46"/>
      <c r="C159" s="46"/>
      <c r="D159" s="46"/>
      <c r="E159" s="46"/>
      <c r="F159" s="46"/>
      <c r="G159" s="46"/>
      <c r="H159" s="46"/>
      <c r="K159" s="46"/>
    </row>
    <row r="160" spans="1:11" s="109" customFormat="1">
      <c r="A160" s="46"/>
      <c r="B160" s="46"/>
      <c r="C160" s="46"/>
      <c r="D160" s="46"/>
      <c r="E160" s="46"/>
      <c r="F160" s="46"/>
      <c r="G160" s="46"/>
      <c r="H160" s="46"/>
      <c r="K160" s="46"/>
    </row>
    <row r="161" spans="1:11" s="109" customFormat="1">
      <c r="A161" s="46"/>
      <c r="B161" s="46"/>
      <c r="C161" s="46"/>
      <c r="D161" s="46"/>
      <c r="E161" s="46"/>
      <c r="F161" s="46"/>
      <c r="G161" s="46"/>
      <c r="H161" s="46"/>
      <c r="K161" s="46"/>
    </row>
    <row r="162" spans="1:11" s="109" customFormat="1">
      <c r="A162" s="46"/>
      <c r="B162" s="46"/>
      <c r="C162" s="46"/>
      <c r="D162" s="46"/>
      <c r="E162" s="46"/>
      <c r="F162" s="46"/>
      <c r="G162" s="46"/>
      <c r="H162" s="46"/>
      <c r="K162" s="46"/>
    </row>
    <row r="163" spans="1:11" s="109" customFormat="1">
      <c r="A163" s="46"/>
      <c r="B163" s="46"/>
      <c r="C163" s="46"/>
      <c r="D163" s="46"/>
      <c r="E163" s="46"/>
      <c r="F163" s="46"/>
      <c r="G163" s="46"/>
      <c r="H163" s="46"/>
      <c r="K163" s="46"/>
    </row>
    <row r="164" spans="1:11" s="109" customFormat="1">
      <c r="A164" s="46"/>
      <c r="B164" s="46"/>
      <c r="C164" s="46"/>
      <c r="D164" s="46"/>
      <c r="E164" s="46"/>
      <c r="F164" s="46"/>
      <c r="G164" s="46"/>
      <c r="H164" s="46"/>
      <c r="K164" s="46"/>
    </row>
    <row r="165" spans="1:11" s="109" customFormat="1">
      <c r="A165" s="46"/>
      <c r="B165" s="46"/>
      <c r="C165" s="46"/>
      <c r="D165" s="46"/>
      <c r="E165" s="46"/>
      <c r="F165" s="46"/>
      <c r="G165" s="46"/>
      <c r="H165" s="46"/>
      <c r="K165" s="46"/>
    </row>
    <row r="166" spans="1:11" s="109" customFormat="1">
      <c r="A166" s="46"/>
      <c r="B166" s="46"/>
      <c r="C166" s="46"/>
      <c r="D166" s="46"/>
      <c r="E166" s="46"/>
      <c r="F166" s="46"/>
      <c r="G166" s="46"/>
      <c r="H166" s="46"/>
      <c r="K166" s="46"/>
    </row>
    <row r="167" spans="1:11" s="109" customFormat="1">
      <c r="A167" s="46"/>
      <c r="B167" s="46"/>
      <c r="C167" s="46"/>
      <c r="D167" s="46"/>
      <c r="E167" s="46"/>
      <c r="F167" s="46"/>
      <c r="G167" s="46"/>
      <c r="H167" s="46"/>
      <c r="K167" s="46"/>
    </row>
    <row r="168" spans="1:11" s="109" customFormat="1">
      <c r="A168" s="46"/>
      <c r="B168" s="46"/>
      <c r="C168" s="46"/>
      <c r="D168" s="46"/>
      <c r="E168" s="46"/>
      <c r="F168" s="46"/>
      <c r="G168" s="46"/>
      <c r="H168" s="46"/>
      <c r="K168" s="46"/>
    </row>
    <row r="169" spans="1:11" s="109" customFormat="1">
      <c r="A169" s="46"/>
      <c r="B169" s="46"/>
      <c r="C169" s="46"/>
      <c r="D169" s="46"/>
      <c r="E169" s="46"/>
      <c r="F169" s="46"/>
      <c r="G169" s="46"/>
      <c r="H169" s="46"/>
      <c r="K169" s="46"/>
    </row>
    <row r="170" spans="1:11" s="109" customFormat="1">
      <c r="A170" s="46"/>
      <c r="B170" s="46"/>
      <c r="C170" s="46"/>
      <c r="D170" s="46"/>
      <c r="E170" s="46"/>
      <c r="F170" s="46"/>
      <c r="G170" s="46"/>
      <c r="H170" s="46"/>
      <c r="K170" s="46"/>
    </row>
    <row r="171" spans="1:11" s="109" customFormat="1">
      <c r="A171" s="46"/>
      <c r="B171" s="46"/>
      <c r="C171" s="46"/>
      <c r="D171" s="46"/>
      <c r="E171" s="46"/>
      <c r="F171" s="46"/>
      <c r="G171" s="46"/>
      <c r="H171" s="46"/>
      <c r="K171" s="46"/>
    </row>
    <row r="172" spans="1:11" s="109" customFormat="1">
      <c r="A172" s="46"/>
      <c r="B172" s="46"/>
      <c r="C172" s="46"/>
      <c r="D172" s="46"/>
      <c r="E172" s="46"/>
      <c r="F172" s="46"/>
      <c r="G172" s="46"/>
      <c r="H172" s="46"/>
      <c r="K172" s="46"/>
    </row>
    <row r="173" spans="1:11" s="109" customFormat="1">
      <c r="A173" s="46"/>
      <c r="B173" s="46"/>
      <c r="C173" s="46"/>
      <c r="D173" s="46"/>
      <c r="E173" s="46"/>
      <c r="F173" s="46"/>
      <c r="G173" s="46"/>
      <c r="H173" s="46"/>
      <c r="K173" s="46"/>
    </row>
    <row r="174" spans="1:11" s="109" customFormat="1">
      <c r="A174" s="46"/>
      <c r="B174" s="46"/>
      <c r="C174" s="46"/>
      <c r="D174" s="46"/>
      <c r="E174" s="46"/>
      <c r="F174" s="46"/>
      <c r="G174" s="46"/>
      <c r="H174" s="46"/>
      <c r="K174" s="46"/>
    </row>
    <row r="175" spans="1:11" s="109" customFormat="1">
      <c r="A175" s="46"/>
      <c r="B175" s="46"/>
      <c r="C175" s="46"/>
      <c r="D175" s="46"/>
      <c r="E175" s="46"/>
      <c r="F175" s="46"/>
      <c r="G175" s="46"/>
      <c r="H175" s="46"/>
      <c r="K175" s="46"/>
    </row>
    <row r="176" spans="1:11" s="109" customFormat="1">
      <c r="A176" s="46"/>
      <c r="B176" s="46"/>
      <c r="C176" s="46"/>
      <c r="D176" s="46"/>
      <c r="E176" s="46"/>
      <c r="F176" s="46"/>
      <c r="G176" s="46"/>
      <c r="H176" s="46"/>
      <c r="K176" s="46"/>
    </row>
    <row r="177" spans="1:11" s="109" customFormat="1">
      <c r="A177" s="46"/>
      <c r="B177" s="46"/>
      <c r="C177" s="46"/>
      <c r="D177" s="46"/>
      <c r="E177" s="46"/>
      <c r="F177" s="46"/>
      <c r="G177" s="46"/>
      <c r="H177" s="46"/>
      <c r="K177" s="46"/>
    </row>
    <row r="178" spans="1:11" s="109" customFormat="1">
      <c r="A178" s="46"/>
      <c r="B178" s="46"/>
      <c r="C178" s="46"/>
      <c r="D178" s="46"/>
      <c r="E178" s="46"/>
      <c r="F178" s="46"/>
      <c r="G178" s="46"/>
      <c r="H178" s="46"/>
      <c r="K178" s="46"/>
    </row>
    <row r="179" spans="1:11" s="109" customFormat="1">
      <c r="A179" s="46"/>
      <c r="B179" s="46"/>
      <c r="C179" s="46"/>
      <c r="D179" s="46"/>
      <c r="E179" s="46"/>
      <c r="F179" s="46"/>
      <c r="G179" s="46"/>
      <c r="H179" s="46"/>
      <c r="K179" s="46"/>
    </row>
    <row r="180" spans="1:11" s="109" customFormat="1">
      <c r="A180" s="46"/>
      <c r="B180" s="46"/>
      <c r="C180" s="46"/>
      <c r="D180" s="46"/>
      <c r="E180" s="46"/>
      <c r="F180" s="46"/>
      <c r="G180" s="46"/>
      <c r="H180" s="46"/>
      <c r="K180" s="46"/>
    </row>
    <row r="181" spans="1:11" s="109" customFormat="1">
      <c r="A181" s="46"/>
      <c r="B181" s="46"/>
      <c r="C181" s="46"/>
      <c r="D181" s="46"/>
      <c r="E181" s="46"/>
      <c r="F181" s="46"/>
      <c r="G181" s="46"/>
      <c r="H181" s="46"/>
      <c r="K181" s="46"/>
    </row>
    <row r="182" spans="1:11" s="109" customFormat="1">
      <c r="A182" s="46"/>
      <c r="B182" s="46"/>
      <c r="C182" s="46"/>
      <c r="D182" s="46"/>
      <c r="E182" s="46"/>
      <c r="F182" s="46"/>
      <c r="G182" s="46"/>
      <c r="H182" s="46"/>
      <c r="K182" s="46"/>
    </row>
    <row r="183" spans="1:11" s="109" customFormat="1">
      <c r="A183" s="46"/>
      <c r="B183" s="46"/>
      <c r="C183" s="46"/>
      <c r="D183" s="46"/>
      <c r="E183" s="46"/>
      <c r="F183" s="46"/>
      <c r="G183" s="46"/>
      <c r="H183" s="46"/>
      <c r="K183" s="46"/>
    </row>
    <row r="184" spans="1:11" s="109" customFormat="1">
      <c r="A184" s="46"/>
      <c r="B184" s="46"/>
      <c r="C184" s="46"/>
      <c r="D184" s="46"/>
      <c r="E184" s="46"/>
      <c r="F184" s="46"/>
      <c r="G184" s="46"/>
      <c r="H184" s="46"/>
      <c r="K184" s="46"/>
    </row>
    <row r="185" spans="1:11" s="109" customFormat="1">
      <c r="A185" s="46"/>
      <c r="B185" s="46"/>
      <c r="C185" s="46"/>
      <c r="D185" s="46"/>
      <c r="E185" s="46"/>
      <c r="F185" s="46"/>
      <c r="G185" s="46"/>
      <c r="H185" s="46"/>
      <c r="K185" s="46"/>
    </row>
    <row r="186" spans="1:11" s="109" customFormat="1">
      <c r="A186" s="46"/>
      <c r="B186" s="46"/>
      <c r="C186" s="46"/>
      <c r="D186" s="46"/>
      <c r="E186" s="46"/>
      <c r="F186" s="46"/>
      <c r="G186" s="46"/>
      <c r="H186" s="46"/>
      <c r="K186" s="46"/>
    </row>
    <row r="187" spans="1:11" s="109" customFormat="1">
      <c r="A187" s="46"/>
      <c r="B187" s="46"/>
      <c r="C187" s="46"/>
      <c r="D187" s="46"/>
      <c r="E187" s="46"/>
      <c r="F187" s="46"/>
      <c r="G187" s="46"/>
      <c r="H187" s="46"/>
      <c r="K187" s="46"/>
    </row>
    <row r="188" spans="1:11" s="109" customFormat="1">
      <c r="A188" s="46"/>
      <c r="B188" s="46"/>
      <c r="C188" s="46"/>
      <c r="D188" s="46"/>
      <c r="E188" s="46"/>
      <c r="F188" s="46"/>
      <c r="G188" s="46"/>
      <c r="H188" s="46"/>
      <c r="K188" s="46"/>
    </row>
    <row r="189" spans="1:11" s="109" customFormat="1">
      <c r="A189" s="46"/>
      <c r="B189" s="46"/>
      <c r="C189" s="46"/>
      <c r="D189" s="46"/>
      <c r="E189" s="46"/>
      <c r="F189" s="46"/>
      <c r="G189" s="46"/>
      <c r="H189" s="46"/>
      <c r="K189" s="46"/>
    </row>
    <row r="190" spans="1:11" s="109" customFormat="1">
      <c r="A190" s="46"/>
      <c r="B190" s="46"/>
      <c r="C190" s="46"/>
      <c r="D190" s="46"/>
      <c r="E190" s="46"/>
      <c r="F190" s="46"/>
      <c r="G190" s="46"/>
      <c r="H190" s="46"/>
      <c r="K190" s="46"/>
    </row>
    <row r="191" spans="1:11" s="109" customFormat="1">
      <c r="A191" s="46"/>
      <c r="B191" s="46"/>
      <c r="C191" s="46"/>
      <c r="D191" s="46"/>
      <c r="E191" s="46"/>
      <c r="F191" s="46"/>
      <c r="G191" s="46"/>
      <c r="H191" s="46"/>
      <c r="K191" s="46"/>
    </row>
    <row r="192" spans="1:11" s="109" customFormat="1">
      <c r="A192" s="46"/>
      <c r="B192" s="46"/>
      <c r="C192" s="46"/>
      <c r="D192" s="46"/>
      <c r="E192" s="46"/>
      <c r="F192" s="46"/>
      <c r="G192" s="46"/>
      <c r="H192" s="46"/>
      <c r="K192" s="46"/>
    </row>
    <row r="193" spans="1:11" s="109" customFormat="1">
      <c r="A193" s="46"/>
      <c r="B193" s="46"/>
      <c r="C193" s="46"/>
      <c r="D193" s="46"/>
      <c r="E193" s="46"/>
      <c r="F193" s="46"/>
      <c r="G193" s="46"/>
      <c r="H193" s="46"/>
      <c r="K193" s="46"/>
    </row>
    <row r="194" spans="1:11" s="109" customFormat="1">
      <c r="A194" s="46"/>
      <c r="B194" s="46"/>
      <c r="C194" s="46"/>
      <c r="D194" s="46"/>
      <c r="E194" s="46"/>
      <c r="F194" s="46"/>
      <c r="G194" s="46"/>
      <c r="H194" s="46"/>
      <c r="K194" s="46"/>
    </row>
    <row r="195" spans="1:11" s="109" customFormat="1">
      <c r="A195" s="46"/>
      <c r="B195" s="46"/>
      <c r="C195" s="46"/>
      <c r="D195" s="46"/>
      <c r="E195" s="46"/>
      <c r="F195" s="46"/>
      <c r="G195" s="46"/>
      <c r="H195" s="46"/>
      <c r="K195" s="46"/>
    </row>
    <row r="196" spans="1:11" s="109" customFormat="1">
      <c r="A196" s="46"/>
      <c r="B196" s="46"/>
      <c r="C196" s="46"/>
      <c r="D196" s="46"/>
      <c r="E196" s="46"/>
      <c r="F196" s="46"/>
      <c r="G196" s="46"/>
      <c r="H196" s="46"/>
      <c r="K196" s="46"/>
    </row>
    <row r="197" spans="1:11" s="109" customFormat="1">
      <c r="A197" s="46"/>
      <c r="B197" s="46"/>
      <c r="C197" s="46"/>
      <c r="D197" s="46"/>
      <c r="E197" s="46"/>
      <c r="F197" s="46"/>
      <c r="G197" s="46"/>
      <c r="H197" s="46"/>
      <c r="K197" s="46"/>
    </row>
    <row r="198" spans="1:11" s="109" customFormat="1">
      <c r="A198" s="46"/>
      <c r="B198" s="46"/>
      <c r="C198" s="46"/>
      <c r="D198" s="46"/>
      <c r="E198" s="46"/>
      <c r="F198" s="46"/>
      <c r="G198" s="46"/>
      <c r="H198" s="46"/>
      <c r="K198" s="46"/>
    </row>
    <row r="199" spans="1:11" s="109" customFormat="1">
      <c r="A199" s="46"/>
      <c r="B199" s="46"/>
      <c r="C199" s="46"/>
      <c r="D199" s="46"/>
      <c r="E199" s="46"/>
      <c r="F199" s="46"/>
      <c r="G199" s="46"/>
      <c r="H199" s="46"/>
      <c r="K199" s="46"/>
    </row>
    <row r="200" spans="1:11" s="109" customFormat="1">
      <c r="A200" s="46"/>
      <c r="B200" s="46"/>
      <c r="C200" s="46"/>
      <c r="D200" s="46"/>
      <c r="E200" s="46"/>
      <c r="F200" s="46"/>
      <c r="G200" s="46"/>
      <c r="H200" s="46"/>
      <c r="K200" s="46"/>
    </row>
    <row r="201" spans="1:11" s="109" customFormat="1">
      <c r="A201" s="46"/>
      <c r="B201" s="46"/>
      <c r="C201" s="46"/>
      <c r="D201" s="46"/>
      <c r="E201" s="46"/>
      <c r="F201" s="46"/>
      <c r="G201" s="46"/>
      <c r="H201" s="46"/>
      <c r="K201" s="46"/>
    </row>
    <row r="202" spans="1:11" s="109" customFormat="1">
      <c r="A202" s="46"/>
      <c r="B202" s="46"/>
      <c r="C202" s="46"/>
      <c r="D202" s="46"/>
      <c r="E202" s="46"/>
      <c r="F202" s="46"/>
      <c r="G202" s="46"/>
      <c r="H202" s="46"/>
      <c r="K202" s="46"/>
    </row>
    <row r="203" spans="1:11" s="109" customFormat="1">
      <c r="A203" s="46"/>
      <c r="B203" s="46"/>
      <c r="C203" s="46"/>
      <c r="D203" s="46"/>
      <c r="E203" s="46"/>
      <c r="F203" s="46"/>
      <c r="G203" s="46"/>
      <c r="H203" s="46"/>
      <c r="K203" s="46"/>
    </row>
    <row r="204" spans="1:11" s="109" customFormat="1">
      <c r="A204" s="46"/>
      <c r="B204" s="46"/>
      <c r="C204" s="46"/>
      <c r="D204" s="46"/>
      <c r="E204" s="46"/>
      <c r="F204" s="46"/>
      <c r="G204" s="46"/>
      <c r="H204" s="46"/>
      <c r="K204" s="46"/>
    </row>
    <row r="205" spans="1:11" s="109" customFormat="1">
      <c r="A205" s="46"/>
      <c r="B205" s="46"/>
      <c r="C205" s="46"/>
      <c r="D205" s="46"/>
      <c r="E205" s="46"/>
      <c r="F205" s="46"/>
      <c r="G205" s="46"/>
      <c r="H205" s="46"/>
      <c r="K205" s="46"/>
    </row>
    <row r="206" spans="1:11" s="109" customFormat="1">
      <c r="A206" s="46"/>
      <c r="B206" s="46"/>
      <c r="C206" s="46"/>
      <c r="D206" s="46"/>
      <c r="E206" s="46"/>
      <c r="F206" s="46"/>
      <c r="G206" s="46"/>
      <c r="H206" s="46"/>
      <c r="K206" s="46"/>
    </row>
    <row r="207" spans="1:11" s="109" customFormat="1">
      <c r="A207" s="46"/>
      <c r="B207" s="46"/>
      <c r="C207" s="46"/>
      <c r="D207" s="46"/>
      <c r="E207" s="46"/>
      <c r="F207" s="46"/>
      <c r="G207" s="46"/>
      <c r="H207" s="46"/>
      <c r="K207" s="46"/>
    </row>
    <row r="208" spans="1:11" s="109" customFormat="1">
      <c r="A208" s="46"/>
      <c r="B208" s="46"/>
      <c r="C208" s="46"/>
      <c r="D208" s="46"/>
      <c r="E208" s="46"/>
      <c r="F208" s="46"/>
      <c r="G208" s="46"/>
      <c r="H208" s="46"/>
      <c r="K208" s="46"/>
    </row>
    <row r="209" spans="1:11" s="109" customFormat="1">
      <c r="A209" s="46"/>
      <c r="B209" s="46"/>
      <c r="C209" s="46"/>
      <c r="D209" s="46"/>
      <c r="E209" s="46"/>
      <c r="F209" s="46"/>
      <c r="G209" s="46"/>
      <c r="H209" s="46"/>
      <c r="K209" s="46"/>
    </row>
    <row r="210" spans="1:11" s="109" customFormat="1">
      <c r="A210" s="46"/>
      <c r="B210" s="46"/>
      <c r="C210" s="46"/>
      <c r="D210" s="46"/>
      <c r="E210" s="46"/>
      <c r="F210" s="46"/>
      <c r="G210" s="46"/>
      <c r="H210" s="46"/>
      <c r="K210" s="46"/>
    </row>
    <row r="211" spans="1:11" s="109" customFormat="1">
      <c r="A211" s="46"/>
      <c r="B211" s="46"/>
      <c r="C211" s="46"/>
      <c r="D211" s="46"/>
      <c r="E211" s="46"/>
      <c r="F211" s="46"/>
      <c r="G211" s="46"/>
      <c r="H211" s="46"/>
      <c r="K211" s="46"/>
    </row>
    <row r="212" spans="1:11" s="109" customFormat="1">
      <c r="A212" s="46"/>
      <c r="B212" s="46"/>
      <c r="C212" s="46"/>
      <c r="D212" s="46"/>
      <c r="E212" s="46"/>
      <c r="F212" s="46"/>
      <c r="G212" s="46"/>
      <c r="H212" s="46"/>
      <c r="K212" s="46"/>
    </row>
    <row r="213" spans="1:11" s="109" customFormat="1">
      <c r="A213" s="46"/>
      <c r="B213" s="46"/>
      <c r="C213" s="46"/>
      <c r="D213" s="46"/>
      <c r="E213" s="46"/>
      <c r="F213" s="46"/>
      <c r="G213" s="46"/>
      <c r="H213" s="46"/>
      <c r="K213" s="46"/>
    </row>
    <row r="214" spans="1:11" s="109" customFormat="1">
      <c r="A214" s="46"/>
      <c r="B214" s="46"/>
      <c r="C214" s="46"/>
      <c r="D214" s="46"/>
      <c r="E214" s="46"/>
      <c r="F214" s="46"/>
      <c r="G214" s="46"/>
      <c r="H214" s="46"/>
      <c r="K214" s="46"/>
    </row>
    <row r="215" spans="1:11" s="109" customFormat="1">
      <c r="A215" s="46"/>
      <c r="B215" s="46"/>
      <c r="C215" s="46"/>
      <c r="D215" s="46"/>
      <c r="E215" s="46"/>
      <c r="F215" s="46"/>
      <c r="G215" s="46"/>
      <c r="H215" s="46"/>
      <c r="K215" s="46"/>
    </row>
    <row r="216" spans="1:11" s="109" customFormat="1">
      <c r="A216" s="46"/>
      <c r="B216" s="46"/>
      <c r="C216" s="46"/>
      <c r="D216" s="46"/>
      <c r="E216" s="46"/>
      <c r="F216" s="46"/>
      <c r="G216" s="46"/>
      <c r="H216" s="46"/>
      <c r="K216" s="46"/>
    </row>
    <row r="217" spans="1:11" s="109" customFormat="1">
      <c r="A217" s="46"/>
      <c r="B217" s="46"/>
      <c r="C217" s="46"/>
      <c r="D217" s="46"/>
      <c r="E217" s="46"/>
      <c r="F217" s="46"/>
      <c r="G217" s="46"/>
      <c r="H217" s="46"/>
      <c r="K217" s="46"/>
    </row>
    <row r="218" spans="1:11" s="109" customFormat="1">
      <c r="A218" s="46"/>
      <c r="B218" s="46"/>
      <c r="C218" s="46"/>
      <c r="D218" s="46"/>
      <c r="E218" s="46"/>
      <c r="F218" s="46"/>
      <c r="G218" s="46"/>
      <c r="H218" s="46"/>
      <c r="K218" s="46"/>
    </row>
    <row r="219" spans="1:11" s="109" customFormat="1">
      <c r="A219" s="46"/>
      <c r="B219" s="46"/>
      <c r="C219" s="46"/>
      <c r="D219" s="46"/>
      <c r="E219" s="46"/>
      <c r="F219" s="46"/>
      <c r="G219" s="46"/>
      <c r="H219" s="46"/>
      <c r="K219" s="46"/>
    </row>
    <row r="220" spans="1:11" s="109" customFormat="1">
      <c r="A220" s="46"/>
      <c r="B220" s="46"/>
      <c r="C220" s="46"/>
      <c r="D220" s="46"/>
      <c r="E220" s="46"/>
      <c r="F220" s="46"/>
      <c r="G220" s="46"/>
      <c r="H220" s="46"/>
      <c r="K220" s="46"/>
    </row>
    <row r="221" spans="1:11" s="109" customFormat="1">
      <c r="A221" s="46"/>
      <c r="B221" s="46"/>
      <c r="C221" s="46"/>
      <c r="D221" s="46"/>
      <c r="E221" s="46"/>
      <c r="F221" s="46"/>
      <c r="G221" s="46"/>
      <c r="H221" s="46"/>
      <c r="K221" s="46"/>
    </row>
    <row r="222" spans="1:11" s="109" customFormat="1">
      <c r="A222" s="46"/>
      <c r="B222" s="46"/>
      <c r="C222" s="46"/>
      <c r="D222" s="46"/>
      <c r="E222" s="46"/>
      <c r="F222" s="46"/>
      <c r="G222" s="46"/>
      <c r="H222" s="46"/>
      <c r="K222" s="46"/>
    </row>
    <row r="223" spans="1:11" s="109" customFormat="1">
      <c r="A223" s="46"/>
      <c r="B223" s="46"/>
      <c r="C223" s="46"/>
      <c r="D223" s="46"/>
      <c r="E223" s="46"/>
      <c r="F223" s="46"/>
      <c r="G223" s="46"/>
      <c r="H223" s="46"/>
      <c r="K223" s="46"/>
    </row>
    <row r="224" spans="1:11" s="109" customFormat="1">
      <c r="A224" s="46"/>
      <c r="B224" s="46"/>
      <c r="C224" s="46"/>
      <c r="D224" s="46"/>
      <c r="E224" s="46"/>
      <c r="F224" s="46"/>
      <c r="G224" s="46"/>
      <c r="H224" s="46"/>
      <c r="K224" s="46"/>
    </row>
    <row r="225" spans="1:11" s="109" customFormat="1">
      <c r="A225" s="46"/>
      <c r="B225" s="46"/>
      <c r="C225" s="46"/>
      <c r="D225" s="46"/>
      <c r="E225" s="46"/>
      <c r="F225" s="46"/>
      <c r="G225" s="46"/>
      <c r="H225" s="46"/>
      <c r="K225" s="46"/>
    </row>
    <row r="226" spans="1:11" s="109" customFormat="1">
      <c r="A226" s="46"/>
      <c r="B226" s="46"/>
      <c r="C226" s="46"/>
      <c r="D226" s="46"/>
      <c r="E226" s="46"/>
      <c r="F226" s="46"/>
      <c r="G226" s="46"/>
      <c r="H226" s="46"/>
      <c r="K226" s="46"/>
    </row>
    <row r="227" spans="1:11" s="109" customFormat="1">
      <c r="A227" s="46"/>
      <c r="B227" s="46"/>
      <c r="C227" s="46"/>
      <c r="D227" s="46"/>
      <c r="E227" s="46"/>
      <c r="F227" s="46"/>
      <c r="G227" s="46"/>
      <c r="H227" s="46"/>
      <c r="K227" s="46"/>
    </row>
    <row r="228" spans="1:11" s="109" customFormat="1">
      <c r="A228" s="46"/>
      <c r="B228" s="46"/>
      <c r="C228" s="46"/>
      <c r="D228" s="46"/>
      <c r="E228" s="46"/>
      <c r="F228" s="46"/>
      <c r="G228" s="46"/>
      <c r="H228" s="46"/>
      <c r="K228" s="46"/>
    </row>
    <row r="229" spans="1:11" s="109" customFormat="1">
      <c r="A229" s="46"/>
      <c r="B229" s="46"/>
      <c r="C229" s="46"/>
      <c r="D229" s="46"/>
      <c r="E229" s="46"/>
      <c r="F229" s="46"/>
      <c r="G229" s="46"/>
      <c r="H229" s="46"/>
      <c r="K229" s="46"/>
    </row>
    <row r="230" spans="1:11" s="109" customFormat="1">
      <c r="A230" s="46"/>
      <c r="B230" s="46"/>
      <c r="C230" s="46"/>
      <c r="D230" s="46"/>
      <c r="E230" s="46"/>
      <c r="F230" s="46"/>
      <c r="G230" s="46"/>
      <c r="H230" s="46"/>
      <c r="K230" s="46"/>
    </row>
    <row r="231" spans="1:11" s="109" customFormat="1">
      <c r="A231" s="46"/>
      <c r="B231" s="46"/>
      <c r="C231" s="46"/>
      <c r="D231" s="46"/>
      <c r="E231" s="46"/>
      <c r="F231" s="46"/>
      <c r="G231" s="46"/>
      <c r="H231" s="46"/>
      <c r="K231" s="46"/>
    </row>
  </sheetData>
  <mergeCells count="3">
    <mergeCell ref="A2:J2"/>
    <mergeCell ref="A3:J3"/>
    <mergeCell ref="A4:J4"/>
  </mergeCells>
  <pageMargins left="0.27" right="0.15" top="0.39" bottom="0.1" header="0.21" footer="0.1"/>
  <pageSetup scale="9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topLeftCell="A16" workbookViewId="0">
      <selection activeCell="B39" sqref="B39"/>
    </sheetView>
  </sheetViews>
  <sheetFormatPr defaultRowHeight="15"/>
  <cols>
    <col min="1" max="1" width="13.42578125" customWidth="1"/>
    <col min="2" max="2" width="4.7109375" customWidth="1"/>
    <col min="3" max="3" width="15.28515625" style="246" customWidth="1"/>
    <col min="4" max="4" width="3.7109375" customWidth="1"/>
    <col min="5" max="5" width="15.42578125" style="246" customWidth="1"/>
    <col min="6" max="6" width="18" customWidth="1"/>
    <col min="8" max="8" width="14.85546875" customWidth="1"/>
    <col min="11" max="11" width="15.85546875" style="246" customWidth="1"/>
  </cols>
  <sheetData>
    <row r="1" spans="1:1">
      <c r="A1" s="247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257</v>
      </c>
    </row>
    <row r="8" spans="1:1">
      <c r="A8" t="s">
        <v>258</v>
      </c>
    </row>
    <row r="9" spans="1:1">
      <c r="A9" t="s">
        <v>259</v>
      </c>
    </row>
    <row r="10" spans="1:1">
      <c r="A10" t="s">
        <v>260</v>
      </c>
    </row>
    <row r="11" spans="1:1">
      <c r="A11" t="s">
        <v>261</v>
      </c>
    </row>
    <row r="12" spans="1:1">
      <c r="A12" t="s">
        <v>262</v>
      </c>
    </row>
    <row r="16" spans="1:1">
      <c r="A16" s="247" t="s">
        <v>263</v>
      </c>
    </row>
    <row r="19" spans="1:11">
      <c r="C19" s="250" t="s">
        <v>264</v>
      </c>
      <c r="D19" s="251"/>
      <c r="E19" s="250" t="s">
        <v>265</v>
      </c>
    </row>
    <row r="21" spans="1:11">
      <c r="A21" t="s">
        <v>254</v>
      </c>
      <c r="C21" s="280">
        <v>865012</v>
      </c>
      <c r="E21" s="246">
        <v>466626.72</v>
      </c>
      <c r="F21" s="252">
        <f>C21+E21</f>
        <v>1331638.72</v>
      </c>
    </row>
    <row r="22" spans="1:11">
      <c r="A22" t="s">
        <v>255</v>
      </c>
      <c r="C22" s="280" t="s">
        <v>284</v>
      </c>
      <c r="F22" s="252" t="e">
        <f t="shared" ref="F22:F29" si="0">C22+E22</f>
        <v>#VALUE!</v>
      </c>
    </row>
    <row r="23" spans="1:11">
      <c r="A23" t="s">
        <v>256</v>
      </c>
      <c r="F23" s="252">
        <f t="shared" si="0"/>
        <v>0</v>
      </c>
    </row>
    <row r="24" spans="1:11">
      <c r="A24" t="s">
        <v>257</v>
      </c>
      <c r="F24" s="252">
        <f t="shared" si="0"/>
        <v>0</v>
      </c>
    </row>
    <row r="25" spans="1:11">
      <c r="A25" t="s">
        <v>258</v>
      </c>
      <c r="F25" s="252">
        <f t="shared" si="0"/>
        <v>0</v>
      </c>
      <c r="K25" s="246">
        <f>290200+61070+578185.5+179630+720977.52+199014.15+15800+345985.81+866800</f>
        <v>3257662.98</v>
      </c>
    </row>
    <row r="26" spans="1:11">
      <c r="A26" t="s">
        <v>259</v>
      </c>
      <c r="F26" s="252">
        <f t="shared" si="0"/>
        <v>0</v>
      </c>
    </row>
    <row r="27" spans="1:11">
      <c r="A27" t="s">
        <v>260</v>
      </c>
      <c r="F27" s="252">
        <f t="shared" si="0"/>
        <v>0</v>
      </c>
    </row>
    <row r="28" spans="1:11">
      <c r="A28" t="s">
        <v>261</v>
      </c>
      <c r="F28" s="252">
        <f t="shared" si="0"/>
        <v>0</v>
      </c>
    </row>
    <row r="29" spans="1:11">
      <c r="A29" t="s">
        <v>262</v>
      </c>
      <c r="F29" s="260">
        <f t="shared" si="0"/>
        <v>0</v>
      </c>
    </row>
    <row r="30" spans="1:11">
      <c r="A30" t="s">
        <v>268</v>
      </c>
      <c r="C30" s="280"/>
      <c r="F30" s="260"/>
    </row>
    <row r="31" spans="1:11">
      <c r="A31" t="s">
        <v>270</v>
      </c>
      <c r="F31" s="260"/>
      <c r="H31" s="252">
        <f>SUM(F30:F31)</f>
        <v>0</v>
      </c>
    </row>
    <row r="32" spans="1:11">
      <c r="A32" s="270" t="s">
        <v>280</v>
      </c>
      <c r="F32" s="260"/>
    </row>
    <row r="33" spans="1:6">
      <c r="C33" s="261">
        <f>SUM(C21:C32)</f>
        <v>865012</v>
      </c>
      <c r="D33" s="261"/>
      <c r="E33" s="261">
        <f>SUM(E30:E32)</f>
        <v>0</v>
      </c>
      <c r="F33" s="261">
        <f>SUM(F30:F32)</f>
        <v>0</v>
      </c>
    </row>
    <row r="35" spans="1:6">
      <c r="A35" s="270" t="s">
        <v>285</v>
      </c>
      <c r="C35" s="288">
        <v>865012</v>
      </c>
    </row>
    <row r="36" spans="1:6">
      <c r="C36" s="246">
        <f>SUM(C33:C35)</f>
        <v>1730024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FF00"/>
  </sheetPr>
  <dimension ref="A1:N231"/>
  <sheetViews>
    <sheetView topLeftCell="A28" workbookViewId="0">
      <selection activeCell="J13" sqref="J13"/>
    </sheetView>
  </sheetViews>
  <sheetFormatPr defaultRowHeight="12.75"/>
  <cols>
    <col min="1" max="1" width="6" style="46" customWidth="1"/>
    <col min="2" max="3" width="9.140625" style="46"/>
    <col min="4" max="4" width="16.5703125" style="46" customWidth="1"/>
    <col min="5" max="5" width="12.42578125" style="46" customWidth="1"/>
    <col min="6" max="6" width="13.140625" style="46" customWidth="1"/>
    <col min="7" max="7" width="10" style="46" customWidth="1"/>
    <col min="8" max="8" width="11.5703125" style="46" customWidth="1"/>
    <col min="9" max="9" width="11.42578125" style="46" customWidth="1"/>
    <col min="10" max="10" width="13.28515625" style="109" customWidth="1"/>
    <col min="11" max="11" width="15.7109375" style="46" customWidth="1"/>
    <col min="12" max="12" width="16.85546875" style="109" customWidth="1"/>
    <col min="13" max="13" width="17" style="109" customWidth="1"/>
    <col min="14" max="14" width="17" style="46" customWidth="1"/>
    <col min="15" max="16384" width="9.140625" style="46"/>
  </cols>
  <sheetData>
    <row r="1" spans="1:14">
      <c r="A1" s="47"/>
      <c r="B1" s="48"/>
      <c r="C1" s="48"/>
      <c r="D1" s="48"/>
      <c r="E1" s="48"/>
      <c r="F1" s="48"/>
      <c r="G1" s="48"/>
      <c r="H1" s="48"/>
      <c r="I1" s="48"/>
      <c r="J1" s="169" t="s">
        <v>81</v>
      </c>
    </row>
    <row r="2" spans="1:14">
      <c r="A2" s="389" t="s">
        <v>80</v>
      </c>
      <c r="B2" s="390"/>
      <c r="C2" s="390"/>
      <c r="D2" s="390"/>
      <c r="E2" s="390"/>
      <c r="F2" s="390"/>
      <c r="G2" s="390"/>
      <c r="H2" s="390"/>
      <c r="I2" s="390"/>
      <c r="J2" s="391"/>
    </row>
    <row r="3" spans="1:14">
      <c r="A3" s="389" t="s">
        <v>197</v>
      </c>
      <c r="B3" s="390"/>
      <c r="C3" s="390"/>
      <c r="D3" s="390"/>
      <c r="E3" s="390"/>
      <c r="F3" s="390"/>
      <c r="G3" s="390"/>
      <c r="H3" s="390"/>
      <c r="I3" s="390"/>
      <c r="J3" s="391"/>
    </row>
    <row r="4" spans="1:14">
      <c r="A4" s="389"/>
      <c r="B4" s="390"/>
      <c r="C4" s="390"/>
      <c r="D4" s="390"/>
      <c r="E4" s="390"/>
      <c r="F4" s="390"/>
      <c r="G4" s="390"/>
      <c r="H4" s="390"/>
      <c r="I4" s="390"/>
      <c r="J4" s="391"/>
    </row>
    <row r="5" spans="1:14">
      <c r="A5" s="54" t="s">
        <v>77</v>
      </c>
      <c r="B5" s="204"/>
      <c r="C5" s="204"/>
      <c r="D5" s="204"/>
      <c r="E5" s="204"/>
      <c r="F5" s="204"/>
      <c r="G5" s="204"/>
      <c r="H5" s="204"/>
      <c r="I5" s="204"/>
      <c r="J5" s="170"/>
    </row>
    <row r="6" spans="1:14">
      <c r="A6" s="54" t="s">
        <v>76</v>
      </c>
      <c r="B6" s="55"/>
      <c r="C6" s="55"/>
      <c r="D6" s="55"/>
      <c r="E6" s="55"/>
      <c r="F6" s="55"/>
      <c r="G6" s="55"/>
      <c r="H6" s="55"/>
      <c r="I6" s="55"/>
      <c r="J6" s="171"/>
    </row>
    <row r="7" spans="1:14">
      <c r="A7" s="47"/>
      <c r="B7" s="48"/>
      <c r="C7" s="48"/>
      <c r="D7" s="49"/>
      <c r="E7" s="88" t="s">
        <v>8</v>
      </c>
      <c r="F7" s="50"/>
      <c r="G7" s="52"/>
      <c r="H7" s="52"/>
      <c r="I7" s="53"/>
      <c r="J7" s="110"/>
    </row>
    <row r="8" spans="1:14">
      <c r="A8" s="54"/>
      <c r="B8" s="55"/>
      <c r="C8" s="55"/>
      <c r="D8" s="56"/>
      <c r="E8" s="203" t="s">
        <v>9</v>
      </c>
      <c r="F8" s="53"/>
      <c r="G8" s="59"/>
      <c r="H8" s="59"/>
      <c r="I8" s="58"/>
      <c r="J8" s="111"/>
    </row>
    <row r="9" spans="1:14">
      <c r="A9" s="61" t="s">
        <v>68</v>
      </c>
      <c r="B9" s="55"/>
      <c r="C9" s="55"/>
      <c r="D9" s="56"/>
      <c r="E9" s="203" t="s">
        <v>10</v>
      </c>
      <c r="F9" s="60" t="s">
        <v>12</v>
      </c>
      <c r="G9" s="60" t="s">
        <v>14</v>
      </c>
      <c r="H9" s="60" t="s">
        <v>20</v>
      </c>
      <c r="I9" s="60" t="s">
        <v>22</v>
      </c>
      <c r="J9" s="112" t="s">
        <v>24</v>
      </c>
    </row>
    <row r="10" spans="1:14">
      <c r="A10" s="54"/>
      <c r="B10" s="55"/>
      <c r="C10" s="55"/>
      <c r="D10" s="56"/>
      <c r="E10" s="203" t="s">
        <v>11</v>
      </c>
      <c r="F10" s="60" t="s">
        <v>13</v>
      </c>
      <c r="G10" s="59"/>
      <c r="H10" s="60" t="s">
        <v>21</v>
      </c>
      <c r="I10" s="60" t="s">
        <v>23</v>
      </c>
      <c r="J10" s="111"/>
    </row>
    <row r="11" spans="1:14">
      <c r="A11" s="62"/>
      <c r="B11" s="63"/>
      <c r="C11" s="63"/>
      <c r="D11" s="64"/>
      <c r="E11" s="65">
        <v>0.3</v>
      </c>
      <c r="F11" s="66">
        <v>0.7</v>
      </c>
      <c r="G11" s="59"/>
      <c r="H11" s="67"/>
      <c r="I11" s="68"/>
      <c r="J11" s="113"/>
    </row>
    <row r="12" spans="1:14" ht="18" customHeight="1">
      <c r="A12" s="70" t="s">
        <v>0</v>
      </c>
      <c r="B12" s="71"/>
      <c r="C12" s="71"/>
      <c r="D12" s="72"/>
      <c r="E12" s="51"/>
      <c r="F12" s="51"/>
      <c r="G12" s="51"/>
      <c r="H12" s="51"/>
      <c r="I12" s="51"/>
      <c r="J12" s="110"/>
      <c r="L12" s="118" t="s">
        <v>90</v>
      </c>
      <c r="M12" s="118" t="s">
        <v>89</v>
      </c>
    </row>
    <row r="13" spans="1:14" ht="18" customHeight="1">
      <c r="A13" s="73" t="s">
        <v>1</v>
      </c>
      <c r="B13" s="72"/>
      <c r="C13" s="72"/>
      <c r="D13" s="72"/>
      <c r="E13" s="94">
        <f>M19*0.3</f>
        <v>557716.7868</v>
      </c>
      <c r="F13" s="94">
        <f>M19*0.7</f>
        <v>1301339.1692000001</v>
      </c>
      <c r="G13" s="94"/>
      <c r="H13" s="94"/>
      <c r="I13" s="94"/>
      <c r="J13" s="275">
        <f>SUM(E13:I13)</f>
        <v>1859055.9560000002</v>
      </c>
      <c r="K13" s="175" t="e">
        <f>SUM(J13+#REF!+#REF!+#REF!+#REF!+#REF!+#REF!+#REF!+#REF!+#REF!+#REF!+#REF!)</f>
        <v>#REF!</v>
      </c>
      <c r="L13" s="109">
        <v>21367644.399999999</v>
      </c>
      <c r="M13" s="109">
        <v>4171566.4</v>
      </c>
    </row>
    <row r="14" spans="1:14" ht="18" customHeight="1">
      <c r="A14" s="73" t="s">
        <v>2</v>
      </c>
      <c r="B14" s="72"/>
      <c r="C14" s="72"/>
      <c r="D14" s="72"/>
      <c r="E14" s="102"/>
      <c r="F14" s="102"/>
      <c r="G14" s="102"/>
      <c r="H14" s="102"/>
      <c r="I14" s="102"/>
      <c r="J14" s="110">
        <f>SUM(E14:I14)</f>
        <v>0</v>
      </c>
      <c r="K14" s="117" t="s">
        <v>88</v>
      </c>
      <c r="L14" s="109">
        <v>9400000</v>
      </c>
      <c r="M14" s="109">
        <v>5637398.9699999997</v>
      </c>
    </row>
    <row r="15" spans="1:14" ht="18" customHeight="1">
      <c r="A15" s="75" t="s">
        <v>3</v>
      </c>
      <c r="B15" s="48"/>
      <c r="C15" s="48"/>
      <c r="D15" s="48"/>
      <c r="E15" s="102"/>
      <c r="F15" s="102"/>
      <c r="G15" s="102"/>
      <c r="H15" s="102"/>
      <c r="I15" s="102"/>
      <c r="J15" s="110"/>
      <c r="L15" s="116">
        <f>SUM(L13:L14)</f>
        <v>30767644.399999999</v>
      </c>
      <c r="M15" s="116">
        <f>SUM(M13:M14)</f>
        <v>9808965.3699999992</v>
      </c>
    </row>
    <row r="16" spans="1:14" ht="18" customHeight="1">
      <c r="A16" s="76" t="s">
        <v>78</v>
      </c>
      <c r="B16" s="55"/>
      <c r="C16" s="55"/>
      <c r="D16" s="55"/>
      <c r="E16" s="103"/>
      <c r="F16" s="103"/>
      <c r="G16" s="103"/>
      <c r="H16" s="103"/>
      <c r="I16" s="103"/>
      <c r="J16" s="113">
        <f>SUM(E16:I16)</f>
        <v>0</v>
      </c>
      <c r="K16" s="46">
        <v>11930281.960000001</v>
      </c>
      <c r="N16" s="109"/>
    </row>
    <row r="17" spans="1:14" ht="18" customHeight="1">
      <c r="A17" s="77" t="s">
        <v>79</v>
      </c>
      <c r="B17" s="72"/>
      <c r="C17" s="72"/>
      <c r="D17" s="72"/>
      <c r="E17" s="94"/>
      <c r="F17" s="94"/>
      <c r="G17" s="94"/>
      <c r="H17" s="94"/>
      <c r="I17" s="94"/>
      <c r="J17" s="113">
        <f>SUM(E17:I17)</f>
        <v>0</v>
      </c>
      <c r="K17" s="173">
        <f>K16-J16</f>
        <v>11930281.960000001</v>
      </c>
      <c r="M17" s="109">
        <v>25936573.030000001</v>
      </c>
      <c r="N17" s="109">
        <v>244418541.11000001</v>
      </c>
    </row>
    <row r="18" spans="1:14" ht="18" customHeight="1">
      <c r="A18" s="70" t="s">
        <v>7</v>
      </c>
      <c r="B18" s="72"/>
      <c r="C18" s="72"/>
      <c r="D18" s="72"/>
      <c r="E18" s="119">
        <f>SUM(E13:E17)</f>
        <v>557716.7868</v>
      </c>
      <c r="F18" s="119">
        <f t="shared" ref="F18:J18" si="0">SUM(F13:F17)</f>
        <v>1301339.1692000001</v>
      </c>
      <c r="G18" s="119">
        <f t="shared" si="0"/>
        <v>0</v>
      </c>
      <c r="H18" s="119">
        <f t="shared" si="0"/>
        <v>0</v>
      </c>
      <c r="I18" s="119">
        <f t="shared" si="0"/>
        <v>0</v>
      </c>
      <c r="J18" s="119">
        <f t="shared" si="0"/>
        <v>1859055.9560000002</v>
      </c>
      <c r="K18" s="166">
        <f t="shared" ref="K18:K40" si="1">SUM(E18:I18)</f>
        <v>1859055.9560000002</v>
      </c>
      <c r="L18" s="193" t="s">
        <v>171</v>
      </c>
      <c r="M18" s="192">
        <f>244431941.11-207250821.99</f>
        <v>37181119.120000005</v>
      </c>
      <c r="N18" s="109">
        <v>207244471.99000001</v>
      </c>
    </row>
    <row r="19" spans="1:14" s="109" customFormat="1" ht="18" customHeight="1">
      <c r="A19" s="74" t="s">
        <v>99</v>
      </c>
      <c r="B19" s="72" t="s">
        <v>100</v>
      </c>
      <c r="C19" s="72"/>
      <c r="D19" s="72"/>
      <c r="E19" s="94">
        <f>SUM('DRRM Funds April 2014'!E41)</f>
        <v>11236738.849849999</v>
      </c>
      <c r="F19" s="94">
        <f>SUM('DRRM Funds April 2014'!F41)</f>
        <v>21693140.859649997</v>
      </c>
      <c r="G19" s="94">
        <f>SUM('DRRM Funds April 2014'!G41)</f>
        <v>0</v>
      </c>
      <c r="H19" s="94">
        <f>SUM('DRRM Funds April 2014'!H41)</f>
        <v>10140</v>
      </c>
      <c r="I19" s="94">
        <f>SUM('DRRM Funds April 2014'!I41)</f>
        <v>0</v>
      </c>
      <c r="J19" s="94">
        <f>SUM('DRRM Funds April 2014'!J41)</f>
        <v>32940019.709499996</v>
      </c>
      <c r="K19" s="166">
        <f t="shared" si="1"/>
        <v>32940019.709499996</v>
      </c>
      <c r="L19" s="194">
        <v>0.05</v>
      </c>
      <c r="M19" s="192">
        <f>M18*0.05</f>
        <v>1859055.9560000002</v>
      </c>
      <c r="N19" s="109">
        <f>N17-N18</f>
        <v>37174069.120000005</v>
      </c>
    </row>
    <row r="20" spans="1:14" s="109" customFormat="1" ht="18" customHeight="1">
      <c r="A20" s="70" t="s">
        <v>101</v>
      </c>
      <c r="B20" s="122"/>
      <c r="C20" s="72"/>
      <c r="D20" s="72"/>
      <c r="E20" s="119">
        <f>SUM(E18:E19)</f>
        <v>11794455.63665</v>
      </c>
      <c r="F20" s="119">
        <f t="shared" ref="F20:J20" si="2">SUM(F18:F19)</f>
        <v>22994480.028849997</v>
      </c>
      <c r="G20" s="119">
        <f t="shared" si="2"/>
        <v>0</v>
      </c>
      <c r="H20" s="119">
        <f t="shared" si="2"/>
        <v>10140</v>
      </c>
      <c r="I20" s="119">
        <f t="shared" si="2"/>
        <v>0</v>
      </c>
      <c r="J20" s="119">
        <f t="shared" si="2"/>
        <v>34799075.6655</v>
      </c>
      <c r="K20" s="166">
        <f t="shared" si="1"/>
        <v>34799075.6655</v>
      </c>
    </row>
    <row r="21" spans="1:14" ht="18" customHeight="1">
      <c r="A21" s="70" t="s">
        <v>15</v>
      </c>
      <c r="B21" s="72"/>
      <c r="C21" s="72"/>
      <c r="D21" s="72"/>
      <c r="E21" s="94"/>
      <c r="F21" s="94"/>
      <c r="G21" s="94"/>
      <c r="H21" s="94"/>
      <c r="I21" s="94"/>
      <c r="J21" s="111"/>
      <c r="K21" s="166">
        <f t="shared" si="1"/>
        <v>0</v>
      </c>
      <c r="M21" s="109">
        <v>26972032.48</v>
      </c>
      <c r="N21" s="109"/>
    </row>
    <row r="22" spans="1:14" ht="18" customHeight="1">
      <c r="A22" s="78" t="s">
        <v>16</v>
      </c>
      <c r="B22" s="72"/>
      <c r="C22" s="72"/>
      <c r="D22" s="72"/>
      <c r="E22" s="94"/>
      <c r="F22" s="94">
        <v>13490</v>
      </c>
      <c r="G22" s="94"/>
      <c r="H22" s="94"/>
      <c r="I22" s="94"/>
      <c r="J22" s="114">
        <f t="shared" ref="J22" si="3">SUM(E22:I22)</f>
        <v>13490</v>
      </c>
      <c r="K22" s="166">
        <f t="shared" si="1"/>
        <v>13490</v>
      </c>
      <c r="L22" s="176">
        <f>518731460.56*0.05</f>
        <v>25936573.028000001</v>
      </c>
      <c r="M22" s="109">
        <v>10934284.82</v>
      </c>
      <c r="N22" s="109"/>
    </row>
    <row r="23" spans="1:14" ht="18" customHeight="1">
      <c r="A23" s="78" t="s">
        <v>70</v>
      </c>
      <c r="B23" s="72"/>
      <c r="C23" s="72"/>
      <c r="D23" s="72"/>
      <c r="E23" s="94"/>
      <c r="F23" s="94">
        <f>4788+18000+95000+53000+3500+1800+75000+10700+91098</f>
        <v>352886</v>
      </c>
      <c r="G23" s="94"/>
      <c r="H23" s="94"/>
      <c r="I23" s="94"/>
      <c r="J23" s="114">
        <f>SUM(E23:I23)</f>
        <v>352886</v>
      </c>
      <c r="K23" s="166">
        <f t="shared" si="1"/>
        <v>352886</v>
      </c>
      <c r="L23" s="109" t="e">
        <f>L22-K13</f>
        <v>#REF!</v>
      </c>
      <c r="M23" s="109">
        <f>M21-M22</f>
        <v>16037747.66</v>
      </c>
    </row>
    <row r="24" spans="1:14" ht="18" customHeight="1">
      <c r="A24" s="78" t="s">
        <v>71</v>
      </c>
      <c r="B24" s="72"/>
      <c r="C24" s="72"/>
      <c r="D24" s="72"/>
      <c r="E24" s="94"/>
      <c r="F24" s="94">
        <f>218647.77+4121+68391.26+217714.33+65000+144662.03</f>
        <v>718536.39</v>
      </c>
      <c r="G24" s="94"/>
      <c r="H24" s="94"/>
      <c r="I24" s="94"/>
      <c r="J24" s="114">
        <f t="shared" ref="J24:J37" si="4">SUM(E24:I24)</f>
        <v>718536.39</v>
      </c>
      <c r="K24" s="166">
        <f t="shared" si="1"/>
        <v>718536.39</v>
      </c>
    </row>
    <row r="25" spans="1:14" ht="18" customHeight="1">
      <c r="A25" s="79" t="s">
        <v>91</v>
      </c>
      <c r="B25" s="72"/>
      <c r="C25" s="72"/>
      <c r="D25" s="72"/>
      <c r="E25" s="94"/>
      <c r="F25" s="94">
        <v>22620</v>
      </c>
      <c r="G25" s="94"/>
      <c r="H25" s="94"/>
      <c r="I25" s="94"/>
      <c r="J25" s="114">
        <f t="shared" si="4"/>
        <v>22620</v>
      </c>
      <c r="K25" s="166">
        <f t="shared" si="1"/>
        <v>22620</v>
      </c>
    </row>
    <row r="26" spans="1:14" ht="18" customHeight="1">
      <c r="A26" s="78" t="s">
        <v>17</v>
      </c>
      <c r="B26" s="72"/>
      <c r="C26" s="72"/>
      <c r="D26" s="72"/>
      <c r="E26" s="94"/>
      <c r="F26" s="94"/>
      <c r="G26" s="94"/>
      <c r="H26" s="94"/>
      <c r="I26" s="94"/>
      <c r="J26" s="114">
        <f t="shared" si="4"/>
        <v>0</v>
      </c>
      <c r="K26" s="166">
        <f t="shared" si="1"/>
        <v>0</v>
      </c>
    </row>
    <row r="27" spans="1:14" ht="18" customHeight="1">
      <c r="A27" s="78" t="s">
        <v>18</v>
      </c>
      <c r="B27" s="72"/>
      <c r="C27" s="72"/>
      <c r="D27" s="72"/>
      <c r="E27" s="94"/>
      <c r="F27" s="94">
        <f>91440+40796.8</f>
        <v>132236.79999999999</v>
      </c>
      <c r="G27" s="94"/>
      <c r="H27" s="94"/>
      <c r="I27" s="94"/>
      <c r="J27" s="114">
        <f t="shared" si="4"/>
        <v>132236.79999999999</v>
      </c>
      <c r="K27" s="166">
        <f t="shared" si="1"/>
        <v>132236.79999999999</v>
      </c>
      <c r="L27" s="118" t="s">
        <v>162</v>
      </c>
    </row>
    <row r="28" spans="1:14" ht="18" customHeight="1">
      <c r="A28" s="78" t="s">
        <v>102</v>
      </c>
      <c r="B28" s="72"/>
      <c r="C28" s="72"/>
      <c r="D28" s="72"/>
      <c r="E28" s="94"/>
      <c r="F28" s="94"/>
      <c r="G28" s="94"/>
      <c r="H28" s="94"/>
      <c r="I28" s="94"/>
      <c r="J28" s="114">
        <f t="shared" si="4"/>
        <v>0</v>
      </c>
      <c r="K28" s="166">
        <f t="shared" si="1"/>
        <v>0</v>
      </c>
      <c r="L28" s="109">
        <f>SUM(F27:F28)</f>
        <v>132236.79999999999</v>
      </c>
    </row>
    <row r="29" spans="1:14" ht="18" customHeight="1">
      <c r="A29" s="78" t="s">
        <v>19</v>
      </c>
      <c r="B29" s="72"/>
      <c r="C29" s="72"/>
      <c r="D29" s="72"/>
      <c r="E29" s="94"/>
      <c r="F29" s="94"/>
      <c r="G29" s="94"/>
      <c r="H29" s="94"/>
      <c r="I29" s="94"/>
      <c r="J29" s="114">
        <f t="shared" si="4"/>
        <v>0</v>
      </c>
      <c r="K29" s="166">
        <f t="shared" si="1"/>
        <v>0</v>
      </c>
      <c r="L29" s="109">
        <v>147060</v>
      </c>
    </row>
    <row r="30" spans="1:14" ht="18" customHeight="1">
      <c r="A30" s="78" t="s">
        <v>168</v>
      </c>
      <c r="B30" s="72"/>
      <c r="C30" s="72"/>
      <c r="D30" s="72"/>
      <c r="E30" s="94"/>
      <c r="F30" s="94"/>
      <c r="G30" s="94"/>
      <c r="H30" s="94"/>
      <c r="I30" s="94"/>
      <c r="J30" s="114">
        <f t="shared" si="4"/>
        <v>0</v>
      </c>
      <c r="K30" s="166">
        <f t="shared" si="1"/>
        <v>0</v>
      </c>
    </row>
    <row r="31" spans="1:14" ht="18" customHeight="1">
      <c r="A31" s="78" t="s">
        <v>98</v>
      </c>
      <c r="B31" s="72"/>
      <c r="C31" s="72"/>
      <c r="D31" s="72"/>
      <c r="E31" s="94"/>
      <c r="F31" s="94"/>
      <c r="G31" s="94"/>
      <c r="H31" s="94"/>
      <c r="I31" s="94"/>
      <c r="J31" s="114"/>
      <c r="K31" s="166">
        <f t="shared" si="1"/>
        <v>0</v>
      </c>
      <c r="L31" s="109">
        <v>1555500</v>
      </c>
    </row>
    <row r="32" spans="1:14" ht="18" customHeight="1">
      <c r="A32" s="78"/>
      <c r="B32" s="72" t="s">
        <v>5</v>
      </c>
      <c r="C32" s="72"/>
      <c r="D32" s="72"/>
      <c r="E32" s="94"/>
      <c r="F32" s="94"/>
      <c r="G32" s="94"/>
      <c r="H32" s="94"/>
      <c r="I32" s="94"/>
      <c r="J32" s="114">
        <f t="shared" si="4"/>
        <v>0</v>
      </c>
      <c r="K32" s="166">
        <f t="shared" si="1"/>
        <v>0</v>
      </c>
      <c r="L32" s="109">
        <v>229640</v>
      </c>
      <c r="M32" s="109">
        <v>2313123</v>
      </c>
    </row>
    <row r="33" spans="1:14" ht="18" customHeight="1">
      <c r="A33" s="78"/>
      <c r="B33" s="72" t="s">
        <v>97</v>
      </c>
      <c r="C33" s="72"/>
      <c r="D33" s="72"/>
      <c r="E33" s="94"/>
      <c r="F33" s="94"/>
      <c r="G33" s="94"/>
      <c r="H33" s="94"/>
      <c r="I33" s="94"/>
      <c r="J33" s="114">
        <f t="shared" si="4"/>
        <v>0</v>
      </c>
      <c r="K33" s="166">
        <f t="shared" si="1"/>
        <v>0</v>
      </c>
      <c r="L33" s="109">
        <v>2209000</v>
      </c>
    </row>
    <row r="34" spans="1:14" ht="18" customHeight="1">
      <c r="A34" s="78" t="s">
        <v>75</v>
      </c>
      <c r="B34" s="72"/>
      <c r="C34" s="72"/>
      <c r="D34" s="72"/>
      <c r="E34" s="94"/>
      <c r="F34" s="94"/>
      <c r="G34" s="94"/>
      <c r="H34" s="94"/>
      <c r="I34" s="94"/>
      <c r="J34" s="114">
        <f t="shared" si="4"/>
        <v>0</v>
      </c>
      <c r="K34" s="166">
        <f t="shared" si="1"/>
        <v>0</v>
      </c>
      <c r="L34" s="109">
        <v>173800</v>
      </c>
    </row>
    <row r="35" spans="1:14" ht="18" customHeight="1">
      <c r="A35" s="79" t="s">
        <v>94</v>
      </c>
      <c r="B35" s="72"/>
      <c r="C35" s="72"/>
      <c r="D35" s="72"/>
      <c r="E35" s="94"/>
      <c r="F35" s="94"/>
      <c r="G35" s="94"/>
      <c r="H35" s="94"/>
      <c r="I35" s="94"/>
      <c r="J35" s="114">
        <f t="shared" si="4"/>
        <v>0</v>
      </c>
      <c r="K35" s="166">
        <f t="shared" si="1"/>
        <v>0</v>
      </c>
      <c r="L35" s="109">
        <v>177000</v>
      </c>
    </row>
    <row r="36" spans="1:14" ht="18" customHeight="1">
      <c r="A36" s="79" t="s">
        <v>95</v>
      </c>
      <c r="B36" s="72"/>
      <c r="C36" s="72"/>
      <c r="D36" s="72"/>
      <c r="E36" s="94"/>
      <c r="F36" s="94"/>
      <c r="G36" s="94"/>
      <c r="H36" s="94"/>
      <c r="I36" s="94"/>
      <c r="J36" s="114">
        <f t="shared" si="4"/>
        <v>0</v>
      </c>
      <c r="K36" s="166">
        <f t="shared" si="1"/>
        <v>0</v>
      </c>
      <c r="L36" s="109">
        <v>204055</v>
      </c>
    </row>
    <row r="37" spans="1:14" ht="18" customHeight="1">
      <c r="A37" s="78" t="s">
        <v>96</v>
      </c>
      <c r="B37" s="72"/>
      <c r="C37" s="72"/>
      <c r="D37" s="72"/>
      <c r="E37" s="94"/>
      <c r="F37" s="94"/>
      <c r="G37" s="94"/>
      <c r="H37" s="94"/>
      <c r="I37" s="94"/>
      <c r="J37" s="114">
        <f t="shared" si="4"/>
        <v>0</v>
      </c>
      <c r="K37" s="166">
        <f t="shared" si="1"/>
        <v>0</v>
      </c>
      <c r="L37" s="109">
        <v>71070</v>
      </c>
    </row>
    <row r="38" spans="1:14" ht="18" customHeight="1">
      <c r="A38" s="84" t="s">
        <v>92</v>
      </c>
      <c r="B38" s="63"/>
      <c r="C38" s="63"/>
      <c r="D38" s="63"/>
      <c r="E38" s="94">
        <f t="shared" ref="E38:J38" si="5">SUM(E22:E37)</f>
        <v>0</v>
      </c>
      <c r="F38" s="94">
        <f t="shared" si="5"/>
        <v>1239769.1900000002</v>
      </c>
      <c r="G38" s="94">
        <f t="shared" si="5"/>
        <v>0</v>
      </c>
      <c r="H38" s="94">
        <f t="shared" si="5"/>
        <v>0</v>
      </c>
      <c r="I38" s="94">
        <f t="shared" si="5"/>
        <v>0</v>
      </c>
      <c r="J38" s="94">
        <f t="shared" si="5"/>
        <v>1239769.1900000002</v>
      </c>
      <c r="K38" s="166">
        <f t="shared" si="1"/>
        <v>1239769.1900000002</v>
      </c>
      <c r="L38" s="109">
        <v>27800</v>
      </c>
      <c r="M38" s="46"/>
    </row>
    <row r="39" spans="1:14" ht="18" customHeight="1">
      <c r="A39" s="84" t="s">
        <v>103</v>
      </c>
      <c r="B39" s="63"/>
      <c r="C39" s="63"/>
      <c r="D39" s="63"/>
      <c r="E39" s="103">
        <f>SUM('DRRM Funds April 2014'!E40)</f>
        <v>28983</v>
      </c>
      <c r="F39" s="103">
        <f>SUM('DRRM Funds April 2014'!F40)</f>
        <v>1488245.1900000002</v>
      </c>
      <c r="G39" s="103">
        <f>SUM('DRRM Funds April 2014'!G40)</f>
        <v>0</v>
      </c>
      <c r="H39" s="103">
        <f>SUM('DRRM Funds April 2014'!H40)</f>
        <v>0</v>
      </c>
      <c r="I39" s="103">
        <f>SUM('DRRM Funds April 2014'!I40)</f>
        <v>0</v>
      </c>
      <c r="J39" s="103">
        <f>SUM('DRRM Funds April 2014'!J40)</f>
        <v>1517228.1900000002</v>
      </c>
      <c r="K39" s="166">
        <f t="shared" si="1"/>
        <v>1517228.1900000002</v>
      </c>
      <c r="L39" s="109">
        <v>126865</v>
      </c>
      <c r="M39" s="109">
        <f>SUM(E39:H39)</f>
        <v>1517228.1900000002</v>
      </c>
    </row>
    <row r="40" spans="1:14" ht="18" customHeight="1">
      <c r="A40" s="84" t="s">
        <v>104</v>
      </c>
      <c r="B40" s="63"/>
      <c r="C40" s="63"/>
      <c r="D40" s="63"/>
      <c r="E40" s="103">
        <f>SUM(E38:E39)</f>
        <v>28983</v>
      </c>
      <c r="F40" s="103">
        <f>SUM(F38:F39)</f>
        <v>2728014.3800000004</v>
      </c>
      <c r="G40" s="103">
        <f t="shared" ref="G40:J40" si="6">SUM(G38:G39)</f>
        <v>0</v>
      </c>
      <c r="H40" s="103">
        <f t="shared" si="6"/>
        <v>0</v>
      </c>
      <c r="I40" s="103">
        <f t="shared" si="6"/>
        <v>0</v>
      </c>
      <c r="J40" s="103">
        <f t="shared" si="6"/>
        <v>2756997.3800000004</v>
      </c>
      <c r="K40" s="166">
        <f t="shared" si="1"/>
        <v>2756997.3800000004</v>
      </c>
      <c r="L40" s="174">
        <f>SUM(L28:L39)</f>
        <v>5054026.8</v>
      </c>
      <c r="M40" s="109">
        <v>10492358.970000001</v>
      </c>
    </row>
    <row r="41" spans="1:14" ht="18" customHeight="1">
      <c r="A41" s="70" t="s">
        <v>93</v>
      </c>
      <c r="B41" s="72"/>
      <c r="C41" s="72"/>
      <c r="D41" s="80"/>
      <c r="E41" s="120">
        <f>E20-E38</f>
        <v>11794455.63665</v>
      </c>
      <c r="F41" s="120">
        <f t="shared" ref="F41:J41" si="7">F20-F38</f>
        <v>21754710.838849995</v>
      </c>
      <c r="G41" s="120">
        <f t="shared" si="7"/>
        <v>0</v>
      </c>
      <c r="H41" s="120">
        <f t="shared" si="7"/>
        <v>10140</v>
      </c>
      <c r="I41" s="120">
        <f t="shared" si="7"/>
        <v>0</v>
      </c>
      <c r="J41" s="120">
        <f t="shared" si="7"/>
        <v>33559306.475500003</v>
      </c>
      <c r="K41" s="166">
        <f>SUM(E41:I41)</f>
        <v>33559306.475499995</v>
      </c>
      <c r="L41" s="46"/>
      <c r="M41" s="109">
        <f>M40-L40</f>
        <v>5438332.1700000009</v>
      </c>
    </row>
    <row r="42" spans="1:14" ht="18" customHeight="1">
      <c r="A42" s="55"/>
      <c r="B42" s="55"/>
      <c r="C42" s="55"/>
      <c r="D42" s="55"/>
      <c r="E42" s="55"/>
      <c r="F42" s="55"/>
      <c r="G42" s="55"/>
      <c r="H42" s="55"/>
      <c r="I42" s="55"/>
      <c r="J42" s="115" t="s">
        <v>74</v>
      </c>
      <c r="K42" s="92">
        <f>SUM(E41:F41)</f>
        <v>33549166.475499995</v>
      </c>
      <c r="M42" s="109">
        <v>0</v>
      </c>
    </row>
    <row r="43" spans="1:14" ht="18" customHeight="1">
      <c r="A43" s="55"/>
      <c r="B43" s="55"/>
      <c r="C43" s="55"/>
      <c r="D43" s="55"/>
      <c r="E43" s="55"/>
      <c r="F43" s="55"/>
      <c r="G43" s="55"/>
      <c r="H43" s="92"/>
      <c r="I43" s="55"/>
      <c r="J43" s="115"/>
      <c r="K43" s="55"/>
      <c r="M43" s="109">
        <v>289860</v>
      </c>
    </row>
    <row r="44" spans="1:14" ht="18" customHeight="1">
      <c r="A44" s="55"/>
      <c r="B44" s="55"/>
      <c r="C44" s="55"/>
      <c r="D44" s="55"/>
      <c r="E44" s="55"/>
      <c r="F44" s="55"/>
      <c r="G44" s="55"/>
      <c r="H44" s="55"/>
      <c r="I44" s="55"/>
      <c r="J44" s="115"/>
      <c r="K44" s="92">
        <f>SUM(E40:F40)</f>
        <v>2756997.3800000004</v>
      </c>
      <c r="M44" s="109">
        <f>SUM(M41:M43)</f>
        <v>5728192.1700000009</v>
      </c>
      <c r="N44" s="173">
        <f>SUM(L40+M44)</f>
        <v>10782218.970000001</v>
      </c>
    </row>
    <row r="45" spans="1:14">
      <c r="A45" s="55" t="s">
        <v>83</v>
      </c>
      <c r="B45" s="55"/>
      <c r="C45" s="55"/>
      <c r="D45" s="55"/>
      <c r="E45" s="55"/>
      <c r="F45" s="55"/>
      <c r="G45" s="55"/>
      <c r="H45" s="55" t="s">
        <v>29</v>
      </c>
      <c r="I45" s="55"/>
      <c r="J45" s="115"/>
      <c r="K45" s="55"/>
      <c r="L45" s="109">
        <v>752760</v>
      </c>
    </row>
    <row r="46" spans="1:14">
      <c r="A46" s="55"/>
      <c r="B46" s="55"/>
      <c r="C46" s="55"/>
      <c r="D46" s="55"/>
      <c r="E46" s="55"/>
      <c r="F46" s="55"/>
      <c r="G46" s="55"/>
      <c r="H46" s="55"/>
      <c r="I46" s="55"/>
      <c r="J46" s="115"/>
      <c r="K46" s="55"/>
      <c r="L46" s="109">
        <v>902075</v>
      </c>
    </row>
    <row r="47" spans="1:14">
      <c r="A47" s="55"/>
      <c r="B47" s="55"/>
      <c r="C47" s="55"/>
      <c r="D47" s="55"/>
      <c r="E47" s="55"/>
      <c r="F47" s="55"/>
      <c r="G47" s="55"/>
      <c r="H47" s="172"/>
      <c r="I47" s="55"/>
      <c r="J47" s="115"/>
      <c r="K47" s="55"/>
      <c r="L47" s="109">
        <v>1032329.7</v>
      </c>
      <c r="M47" s="109">
        <v>1897753.11</v>
      </c>
    </row>
    <row r="48" spans="1:14">
      <c r="A48" s="55" t="s">
        <v>84</v>
      </c>
      <c r="B48" s="55"/>
      <c r="C48" s="55"/>
      <c r="D48" s="55"/>
      <c r="E48" s="55"/>
      <c r="F48" s="55"/>
      <c r="G48" s="55"/>
      <c r="H48" s="140" t="s">
        <v>194</v>
      </c>
      <c r="I48" s="55"/>
      <c r="J48" s="115"/>
      <c r="K48" s="55"/>
      <c r="L48" s="109">
        <v>504234.65</v>
      </c>
      <c r="M48" s="109">
        <v>8736531.7100000009</v>
      </c>
    </row>
    <row r="49" spans="1:13">
      <c r="A49" s="140" t="s">
        <v>86</v>
      </c>
      <c r="B49" s="55"/>
      <c r="C49" s="55"/>
      <c r="D49" s="55"/>
      <c r="E49" s="55"/>
      <c r="F49" s="55"/>
      <c r="G49" s="55"/>
      <c r="H49" s="140" t="s">
        <v>195</v>
      </c>
      <c r="I49" s="55"/>
      <c r="J49" s="115"/>
      <c r="K49" s="55"/>
      <c r="L49" s="109">
        <v>899145</v>
      </c>
      <c r="M49" s="109">
        <v>10140</v>
      </c>
    </row>
    <row r="50" spans="1:13">
      <c r="A50" s="55"/>
      <c r="B50" s="55"/>
      <c r="C50" s="55"/>
      <c r="D50" s="55"/>
      <c r="E50" s="121"/>
      <c r="F50" s="55"/>
      <c r="G50" s="55"/>
      <c r="H50" s="55"/>
      <c r="I50" s="55"/>
      <c r="J50" s="115"/>
      <c r="K50" s="55"/>
      <c r="L50" s="109">
        <v>1087927.3999999999</v>
      </c>
      <c r="M50" s="109">
        <f>SUM(M47:M49)</f>
        <v>10644424.82</v>
      </c>
    </row>
    <row r="51" spans="1:13">
      <c r="A51" s="55"/>
      <c r="B51" s="55"/>
      <c r="C51" s="55"/>
      <c r="D51" s="55"/>
      <c r="E51" s="115"/>
      <c r="F51" s="55"/>
      <c r="G51" s="55"/>
      <c r="H51" s="55"/>
      <c r="I51" s="115"/>
      <c r="J51" s="115"/>
      <c r="K51" s="55"/>
      <c r="L51" s="109">
        <v>2896515.5</v>
      </c>
    </row>
    <row r="52" spans="1:13">
      <c r="A52" s="55"/>
      <c r="B52" s="55"/>
      <c r="C52" s="55"/>
      <c r="D52" s="55"/>
      <c r="E52" s="55"/>
      <c r="F52" s="55"/>
      <c r="G52" s="55"/>
      <c r="H52" s="55"/>
      <c r="I52" s="115"/>
      <c r="J52" s="115"/>
      <c r="K52" s="55"/>
      <c r="L52" s="109">
        <v>120000</v>
      </c>
    </row>
    <row r="53" spans="1:13">
      <c r="I53" s="109"/>
      <c r="M53" s="46"/>
    </row>
    <row r="54" spans="1:13">
      <c r="F54" s="121">
        <f>F18-F55</f>
        <v>-873815.13079999969</v>
      </c>
      <c r="I54" s="109"/>
      <c r="K54" s="55"/>
      <c r="L54" s="115">
        <v>630000</v>
      </c>
      <c r="M54" s="183">
        <v>10644424.82</v>
      </c>
    </row>
    <row r="55" spans="1:13">
      <c r="F55" s="115">
        <f>49980+103610+255752.8+265335+81917.75+32889+315132+287135.25+143400+640002.5</f>
        <v>2175154.2999999998</v>
      </c>
      <c r="I55" s="109"/>
      <c r="J55" s="109">
        <v>7850000</v>
      </c>
      <c r="L55" s="109">
        <v>1000000</v>
      </c>
      <c r="M55" s="183">
        <v>13157941.960000001</v>
      </c>
    </row>
    <row r="56" spans="1:13">
      <c r="I56" s="109"/>
      <c r="J56" s="109">
        <v>800000</v>
      </c>
      <c r="L56" s="109">
        <v>1300000</v>
      </c>
      <c r="M56" s="184">
        <v>0</v>
      </c>
    </row>
    <row r="57" spans="1:13">
      <c r="I57" s="109"/>
      <c r="J57" s="109">
        <v>1200000</v>
      </c>
      <c r="L57" s="109">
        <v>2000000</v>
      </c>
      <c r="M57" s="183">
        <f>SUM(M54:M56)</f>
        <v>23802366.780000001</v>
      </c>
    </row>
    <row r="58" spans="1:13">
      <c r="I58" s="109"/>
      <c r="J58" s="109">
        <v>3500000</v>
      </c>
      <c r="L58" s="109">
        <v>150000</v>
      </c>
      <c r="M58" s="183">
        <v>24092226.780000001</v>
      </c>
    </row>
    <row r="59" spans="1:13">
      <c r="I59" s="109">
        <v>100000</v>
      </c>
      <c r="J59" s="116">
        <f>SUM(J55:J58)</f>
        <v>13350000</v>
      </c>
      <c r="L59" s="109">
        <v>4590281.96</v>
      </c>
      <c r="M59" s="183">
        <f>M58-M57</f>
        <v>289860</v>
      </c>
    </row>
    <row r="60" spans="1:13">
      <c r="I60" s="109">
        <v>4589687.1100000003</v>
      </c>
      <c r="J60" s="109">
        <v>16829861.079999998</v>
      </c>
      <c r="L60" s="109">
        <f>SUM(L54:L59)</f>
        <v>9670281.9600000009</v>
      </c>
      <c r="M60" s="46"/>
    </row>
    <row r="61" spans="1:13">
      <c r="I61" s="116">
        <f>SUM(I55:I60)</f>
        <v>4689687.1100000003</v>
      </c>
      <c r="J61" s="109">
        <f>J59-J60</f>
        <v>-3479861.0799999982</v>
      </c>
      <c r="M61" s="109">
        <v>24416573.030000001</v>
      </c>
    </row>
    <row r="62" spans="1:13">
      <c r="I62" s="109">
        <v>7212797.6100000003</v>
      </c>
      <c r="M62" s="109">
        <v>24708913.030000001</v>
      </c>
    </row>
    <row r="63" spans="1:13">
      <c r="I63" s="109">
        <f>I61-I62</f>
        <v>-2523110.5</v>
      </c>
      <c r="M63" s="109">
        <f>M61-M62</f>
        <v>-292340</v>
      </c>
    </row>
    <row r="64" spans="1:13">
      <c r="I64" s="109"/>
      <c r="M64" s="109">
        <v>289860</v>
      </c>
    </row>
    <row r="65" spans="1:13">
      <c r="I65" s="109"/>
      <c r="J65" s="109">
        <v>25346381.800000001</v>
      </c>
      <c r="M65" s="173">
        <f>SUM(M63:M64)</f>
        <v>-2480</v>
      </c>
    </row>
    <row r="66" spans="1:13">
      <c r="I66" s="109"/>
      <c r="J66" s="109">
        <v>24042658.690000001</v>
      </c>
      <c r="M66" s="46"/>
    </row>
    <row r="67" spans="1:13">
      <c r="I67" s="109"/>
      <c r="J67" s="109">
        <f>J65-J66</f>
        <v>1303723.1099999994</v>
      </c>
      <c r="L67" s="109">
        <v>400000</v>
      </c>
      <c r="M67" s="46"/>
    </row>
    <row r="68" spans="1:13">
      <c r="I68" s="109"/>
      <c r="L68" s="109">
        <v>1000000</v>
      </c>
      <c r="M68" s="109">
        <v>25279.7</v>
      </c>
    </row>
    <row r="69" spans="1:13">
      <c r="I69" s="109"/>
      <c r="M69" s="109">
        <v>27759.7</v>
      </c>
    </row>
    <row r="70" spans="1:13">
      <c r="H70" s="109"/>
      <c r="I70" s="109"/>
      <c r="M70" s="173">
        <f>M68-M69</f>
        <v>-2480</v>
      </c>
    </row>
    <row r="71" spans="1:13">
      <c r="H71" s="109">
        <v>4455551.57</v>
      </c>
      <c r="I71" s="109"/>
      <c r="J71" s="109">
        <v>17496381.800000001</v>
      </c>
      <c r="M71" s="46"/>
    </row>
    <row r="72" spans="1:13">
      <c r="H72" s="109">
        <v>5760963.6399999997</v>
      </c>
      <c r="I72" s="109"/>
      <c r="J72" s="109">
        <v>7850000</v>
      </c>
      <c r="M72" s="46"/>
    </row>
    <row r="73" spans="1:13">
      <c r="H73" s="109">
        <f>SUM(H71:H72)</f>
        <v>10216515.210000001</v>
      </c>
      <c r="I73" s="109"/>
      <c r="J73" s="109">
        <f>SUM(J71:J72)</f>
        <v>25346381.800000001</v>
      </c>
      <c r="M73" s="46"/>
    </row>
    <row r="74" spans="1:13" s="109" customFormat="1">
      <c r="A74" s="46"/>
      <c r="B74" s="46"/>
      <c r="C74" s="46"/>
      <c r="D74" s="46"/>
      <c r="E74" s="46"/>
      <c r="F74" s="46"/>
      <c r="G74" s="46"/>
    </row>
    <row r="75" spans="1:13" s="109" customFormat="1">
      <c r="A75" s="46"/>
      <c r="B75" s="46"/>
      <c r="C75" s="46"/>
      <c r="D75" s="46"/>
      <c r="E75" s="46"/>
      <c r="F75" s="46"/>
      <c r="G75" s="46"/>
    </row>
    <row r="76" spans="1:13" s="109" customFormat="1">
      <c r="A76" s="46"/>
      <c r="B76" s="46"/>
      <c r="C76" s="46"/>
      <c r="D76" s="46"/>
      <c r="E76" s="46"/>
      <c r="F76" s="46"/>
      <c r="G76" s="46"/>
    </row>
    <row r="77" spans="1:13" s="109" customFormat="1">
      <c r="A77" s="46"/>
      <c r="B77" s="46"/>
      <c r="C77" s="46"/>
      <c r="D77" s="46"/>
      <c r="E77" s="46"/>
      <c r="F77" s="46"/>
      <c r="G77" s="46"/>
    </row>
    <row r="78" spans="1:13" s="109" customFormat="1">
      <c r="A78" s="46"/>
      <c r="B78" s="46"/>
      <c r="C78" s="46"/>
      <c r="D78" s="46"/>
      <c r="E78" s="46"/>
      <c r="F78" s="46"/>
      <c r="G78" s="46"/>
    </row>
    <row r="79" spans="1:13" s="109" customFormat="1">
      <c r="A79" s="46"/>
      <c r="B79" s="46"/>
      <c r="C79" s="46"/>
      <c r="D79" s="46"/>
      <c r="E79" s="46"/>
      <c r="F79" s="46"/>
      <c r="G79" s="46"/>
    </row>
    <row r="80" spans="1:13" s="109" customFormat="1">
      <c r="A80" s="46"/>
      <c r="B80" s="46"/>
      <c r="C80" s="46"/>
      <c r="D80" s="46"/>
      <c r="E80" s="46"/>
      <c r="F80" s="46"/>
      <c r="G80" s="46"/>
      <c r="H80" s="46"/>
    </row>
    <row r="81" spans="1:11" s="109" customFormat="1">
      <c r="A81" s="46"/>
      <c r="B81" s="46"/>
      <c r="C81" s="46"/>
      <c r="D81" s="46"/>
      <c r="E81" s="46"/>
      <c r="F81" s="46"/>
      <c r="G81" s="46"/>
      <c r="H81" s="46"/>
    </row>
    <row r="82" spans="1:11" s="109" customFormat="1">
      <c r="A82" s="46"/>
      <c r="B82" s="46"/>
      <c r="C82" s="46"/>
      <c r="D82" s="46"/>
      <c r="E82" s="46"/>
      <c r="F82" s="46"/>
      <c r="G82" s="46"/>
      <c r="H82" s="46"/>
    </row>
    <row r="83" spans="1:11" s="109" customFormat="1">
      <c r="A83" s="46"/>
      <c r="B83" s="46"/>
      <c r="C83" s="46"/>
      <c r="D83" s="46"/>
      <c r="E83" s="46"/>
      <c r="F83" s="46"/>
      <c r="G83" s="46"/>
      <c r="H83" s="46"/>
    </row>
    <row r="84" spans="1:11" s="109" customFormat="1">
      <c r="A84" s="46"/>
      <c r="B84" s="46"/>
      <c r="C84" s="46"/>
      <c r="D84" s="46"/>
      <c r="E84" s="46"/>
      <c r="F84" s="46"/>
      <c r="G84" s="46"/>
      <c r="H84" s="46"/>
      <c r="K84" s="46"/>
    </row>
    <row r="85" spans="1:11" s="109" customFormat="1">
      <c r="A85" s="46"/>
      <c r="B85" s="46"/>
      <c r="C85" s="46"/>
      <c r="D85" s="46"/>
      <c r="E85" s="46"/>
      <c r="F85" s="46"/>
      <c r="G85" s="46"/>
      <c r="H85" s="46"/>
      <c r="K85" s="46"/>
    </row>
    <row r="86" spans="1:11" s="109" customFormat="1">
      <c r="A86" s="46"/>
      <c r="B86" s="46"/>
      <c r="C86" s="46"/>
      <c r="D86" s="46"/>
      <c r="E86" s="46"/>
      <c r="F86" s="46"/>
      <c r="G86" s="46"/>
      <c r="H86" s="46"/>
      <c r="K86" s="46"/>
    </row>
    <row r="87" spans="1:11" s="109" customFormat="1">
      <c r="A87" s="46"/>
      <c r="B87" s="46"/>
      <c r="C87" s="46"/>
      <c r="D87" s="46"/>
      <c r="E87" s="46"/>
      <c r="F87" s="46"/>
      <c r="G87" s="46"/>
      <c r="H87" s="46"/>
      <c r="K87" s="46"/>
    </row>
    <row r="88" spans="1:11" s="109" customFormat="1">
      <c r="A88" s="46"/>
      <c r="B88" s="46"/>
      <c r="C88" s="46"/>
      <c r="D88" s="46"/>
      <c r="E88" s="46"/>
      <c r="F88" s="46"/>
      <c r="G88" s="46"/>
      <c r="H88" s="46"/>
      <c r="K88" s="46"/>
    </row>
    <row r="89" spans="1:11" s="109" customFormat="1">
      <c r="A89" s="46"/>
      <c r="B89" s="46"/>
      <c r="C89" s="46"/>
      <c r="D89" s="46"/>
      <c r="E89" s="46"/>
      <c r="F89" s="46"/>
      <c r="G89" s="46"/>
      <c r="H89" s="46"/>
      <c r="K89" s="46"/>
    </row>
    <row r="90" spans="1:11" s="109" customFormat="1">
      <c r="A90" s="46"/>
      <c r="B90" s="46"/>
      <c r="C90" s="46"/>
      <c r="D90" s="46"/>
      <c r="E90" s="46"/>
      <c r="F90" s="46"/>
      <c r="G90" s="46"/>
      <c r="H90" s="46"/>
      <c r="K90" s="46"/>
    </row>
    <row r="91" spans="1:11" s="109" customFormat="1">
      <c r="A91" s="46"/>
      <c r="B91" s="46"/>
      <c r="C91" s="46"/>
      <c r="D91" s="46"/>
      <c r="E91" s="46"/>
      <c r="F91" s="46"/>
      <c r="G91" s="46"/>
      <c r="H91" s="46"/>
      <c r="K91" s="46"/>
    </row>
    <row r="92" spans="1:11" s="109" customFormat="1">
      <c r="A92" s="46"/>
      <c r="B92" s="46"/>
      <c r="C92" s="46"/>
      <c r="D92" s="46"/>
      <c r="E92" s="46"/>
      <c r="F92" s="46"/>
      <c r="G92" s="46"/>
      <c r="H92" s="46"/>
      <c r="K92" s="46"/>
    </row>
    <row r="93" spans="1:11" s="109" customFormat="1">
      <c r="A93" s="46"/>
      <c r="B93" s="46"/>
      <c r="C93" s="46"/>
      <c r="D93" s="46"/>
      <c r="E93" s="46"/>
      <c r="F93" s="46"/>
      <c r="G93" s="46"/>
      <c r="H93" s="46"/>
      <c r="K93" s="46"/>
    </row>
    <row r="94" spans="1:11" s="109" customFormat="1">
      <c r="A94" s="46"/>
      <c r="B94" s="46"/>
      <c r="C94" s="46"/>
      <c r="D94" s="46"/>
      <c r="E94" s="46"/>
      <c r="F94" s="46"/>
      <c r="G94" s="46"/>
      <c r="H94" s="46"/>
      <c r="K94" s="46"/>
    </row>
    <row r="95" spans="1:11" s="109" customFormat="1">
      <c r="A95" s="46"/>
      <c r="B95" s="46"/>
      <c r="C95" s="46"/>
      <c r="D95" s="46"/>
      <c r="E95" s="46"/>
      <c r="F95" s="46"/>
      <c r="G95" s="46"/>
      <c r="H95" s="46"/>
      <c r="K95" s="46"/>
    </row>
    <row r="96" spans="1:11" s="109" customFormat="1">
      <c r="A96" s="46"/>
      <c r="B96" s="46"/>
      <c r="C96" s="46"/>
      <c r="D96" s="46"/>
      <c r="E96" s="46"/>
      <c r="F96" s="46"/>
      <c r="G96" s="46"/>
      <c r="H96" s="46"/>
      <c r="K96" s="46"/>
    </row>
    <row r="97" spans="1:11" s="109" customFormat="1">
      <c r="A97" s="46"/>
      <c r="B97" s="46"/>
      <c r="C97" s="46"/>
      <c r="D97" s="46"/>
      <c r="E97" s="46"/>
      <c r="F97" s="46"/>
      <c r="G97" s="46"/>
      <c r="H97" s="46"/>
      <c r="K97" s="46"/>
    </row>
    <row r="98" spans="1:11" s="109" customFormat="1">
      <c r="A98" s="46"/>
      <c r="B98" s="46"/>
      <c r="C98" s="46"/>
      <c r="D98" s="46"/>
      <c r="E98" s="46"/>
      <c r="F98" s="46"/>
      <c r="G98" s="46"/>
      <c r="H98" s="46"/>
      <c r="K98" s="46"/>
    </row>
    <row r="99" spans="1:11" s="109" customFormat="1">
      <c r="A99" s="46"/>
      <c r="B99" s="46"/>
      <c r="C99" s="46"/>
      <c r="D99" s="46"/>
      <c r="E99" s="46"/>
      <c r="F99" s="46"/>
      <c r="G99" s="46"/>
      <c r="H99" s="46"/>
      <c r="K99" s="46"/>
    </row>
    <row r="100" spans="1:11" s="109" customFormat="1">
      <c r="A100" s="46"/>
      <c r="B100" s="46"/>
      <c r="C100" s="46"/>
      <c r="D100" s="46"/>
      <c r="E100" s="46"/>
      <c r="F100" s="46"/>
      <c r="G100" s="46"/>
      <c r="H100" s="46"/>
      <c r="K100" s="46"/>
    </row>
    <row r="101" spans="1:11" s="109" customFormat="1">
      <c r="A101" s="46"/>
      <c r="B101" s="46"/>
      <c r="C101" s="46"/>
      <c r="D101" s="46"/>
      <c r="E101" s="46"/>
      <c r="F101" s="46"/>
      <c r="G101" s="46"/>
      <c r="H101" s="46"/>
      <c r="K101" s="46"/>
    </row>
    <row r="102" spans="1:11" s="109" customFormat="1">
      <c r="A102" s="46"/>
      <c r="B102" s="46"/>
      <c r="C102" s="46"/>
      <c r="D102" s="46"/>
      <c r="E102" s="46"/>
      <c r="F102" s="46"/>
      <c r="G102" s="46"/>
      <c r="H102" s="46"/>
      <c r="K102" s="46"/>
    </row>
    <row r="103" spans="1:11" s="109" customFormat="1">
      <c r="A103" s="46"/>
      <c r="B103" s="46"/>
      <c r="C103" s="46"/>
      <c r="D103" s="46"/>
      <c r="E103" s="46"/>
      <c r="F103" s="46"/>
      <c r="G103" s="46"/>
      <c r="H103" s="46"/>
      <c r="K103" s="46"/>
    </row>
    <row r="104" spans="1:11" s="109" customFormat="1">
      <c r="A104" s="46"/>
      <c r="B104" s="46"/>
      <c r="C104" s="46"/>
      <c r="D104" s="46"/>
      <c r="E104" s="46"/>
      <c r="F104" s="46"/>
      <c r="G104" s="46"/>
      <c r="H104" s="46"/>
      <c r="K104" s="46"/>
    </row>
    <row r="105" spans="1:11" s="109" customFormat="1">
      <c r="A105" s="46"/>
      <c r="B105" s="46"/>
      <c r="C105" s="46"/>
      <c r="D105" s="46"/>
      <c r="E105" s="46"/>
      <c r="F105" s="46"/>
      <c r="G105" s="46"/>
      <c r="H105" s="46"/>
      <c r="K105" s="46"/>
    </row>
    <row r="106" spans="1:11" s="109" customFormat="1">
      <c r="A106" s="46"/>
      <c r="B106" s="46"/>
      <c r="C106" s="46"/>
      <c r="D106" s="46"/>
      <c r="E106" s="46"/>
      <c r="F106" s="46"/>
      <c r="G106" s="46"/>
      <c r="H106" s="46"/>
      <c r="K106" s="46"/>
    </row>
    <row r="107" spans="1:11" s="109" customFormat="1">
      <c r="A107" s="46"/>
      <c r="B107" s="46"/>
      <c r="C107" s="46"/>
      <c r="D107" s="46"/>
      <c r="E107" s="46"/>
      <c r="F107" s="46"/>
      <c r="G107" s="46"/>
      <c r="H107" s="46"/>
      <c r="K107" s="46"/>
    </row>
    <row r="108" spans="1:11" s="109" customFormat="1">
      <c r="A108" s="46"/>
      <c r="B108" s="46"/>
      <c r="C108" s="46"/>
      <c r="D108" s="46"/>
      <c r="E108" s="46"/>
      <c r="F108" s="46"/>
      <c r="G108" s="46"/>
      <c r="H108" s="46"/>
      <c r="K108" s="46"/>
    </row>
    <row r="109" spans="1:11" s="109" customFormat="1">
      <c r="A109" s="46"/>
      <c r="B109" s="46"/>
      <c r="C109" s="46"/>
      <c r="D109" s="46"/>
      <c r="E109" s="46"/>
      <c r="F109" s="46"/>
      <c r="G109" s="46"/>
      <c r="H109" s="46"/>
      <c r="K109" s="46"/>
    </row>
    <row r="110" spans="1:11" s="109" customFormat="1">
      <c r="A110" s="46"/>
      <c r="B110" s="46"/>
      <c r="C110" s="46"/>
      <c r="D110" s="46"/>
      <c r="E110" s="46"/>
      <c r="F110" s="46"/>
      <c r="G110" s="46"/>
      <c r="H110" s="46"/>
      <c r="K110" s="46"/>
    </row>
    <row r="111" spans="1:11" s="109" customFormat="1">
      <c r="A111" s="46"/>
      <c r="B111" s="46"/>
      <c r="C111" s="46"/>
      <c r="D111" s="46"/>
      <c r="E111" s="46"/>
      <c r="F111" s="46"/>
      <c r="G111" s="46"/>
      <c r="H111" s="46"/>
      <c r="K111" s="46"/>
    </row>
    <row r="112" spans="1:11" s="109" customFormat="1">
      <c r="A112" s="46"/>
      <c r="B112" s="46"/>
      <c r="C112" s="46"/>
      <c r="D112" s="46"/>
      <c r="E112" s="46"/>
      <c r="F112" s="46"/>
      <c r="G112" s="46"/>
      <c r="H112" s="46"/>
      <c r="K112" s="46"/>
    </row>
    <row r="113" spans="1:11" s="109" customFormat="1">
      <c r="A113" s="46"/>
      <c r="B113" s="46"/>
      <c r="C113" s="46"/>
      <c r="D113" s="46"/>
      <c r="E113" s="46"/>
      <c r="F113" s="46"/>
      <c r="G113" s="46"/>
      <c r="H113" s="46"/>
      <c r="K113" s="46"/>
    </row>
    <row r="114" spans="1:11" s="109" customFormat="1">
      <c r="A114" s="46"/>
      <c r="B114" s="46"/>
      <c r="C114" s="46"/>
      <c r="D114" s="46"/>
      <c r="E114" s="46"/>
      <c r="F114" s="46"/>
      <c r="G114" s="46"/>
      <c r="H114" s="46"/>
      <c r="K114" s="46"/>
    </row>
    <row r="115" spans="1:11" s="109" customFormat="1">
      <c r="A115" s="46"/>
      <c r="B115" s="46"/>
      <c r="C115" s="46"/>
      <c r="D115" s="46"/>
      <c r="E115" s="46"/>
      <c r="F115" s="46"/>
      <c r="G115" s="46"/>
      <c r="H115" s="46"/>
      <c r="K115" s="46"/>
    </row>
    <row r="116" spans="1:11" s="109" customFormat="1">
      <c r="A116" s="46"/>
      <c r="B116" s="46"/>
      <c r="C116" s="46"/>
      <c r="D116" s="46"/>
      <c r="E116" s="46"/>
      <c r="F116" s="46"/>
      <c r="G116" s="46"/>
      <c r="H116" s="46"/>
      <c r="K116" s="46"/>
    </row>
    <row r="117" spans="1:11" s="109" customFormat="1">
      <c r="A117" s="46"/>
      <c r="B117" s="46"/>
      <c r="C117" s="46"/>
      <c r="D117" s="46"/>
      <c r="E117" s="46"/>
      <c r="F117" s="46"/>
      <c r="G117" s="46"/>
      <c r="H117" s="46"/>
      <c r="K117" s="46"/>
    </row>
    <row r="118" spans="1:11" s="109" customFormat="1">
      <c r="A118" s="46"/>
      <c r="B118" s="46"/>
      <c r="C118" s="46"/>
      <c r="D118" s="46"/>
      <c r="E118" s="46"/>
      <c r="F118" s="46"/>
      <c r="G118" s="46"/>
      <c r="H118" s="46"/>
      <c r="K118" s="46"/>
    </row>
    <row r="119" spans="1:11" s="109" customFormat="1">
      <c r="A119" s="46"/>
      <c r="B119" s="46"/>
      <c r="C119" s="46"/>
      <c r="D119" s="46"/>
      <c r="E119" s="46"/>
      <c r="F119" s="46"/>
      <c r="G119" s="46"/>
      <c r="H119" s="46"/>
      <c r="K119" s="46"/>
    </row>
    <row r="120" spans="1:11" s="109" customFormat="1">
      <c r="A120" s="46"/>
      <c r="B120" s="46"/>
      <c r="C120" s="46"/>
      <c r="D120" s="46"/>
      <c r="E120" s="46"/>
      <c r="F120" s="46"/>
      <c r="G120" s="46"/>
      <c r="H120" s="46"/>
      <c r="K120" s="46"/>
    </row>
    <row r="121" spans="1:11" s="109" customFormat="1">
      <c r="A121" s="46"/>
      <c r="B121" s="46"/>
      <c r="C121" s="46"/>
      <c r="D121" s="46"/>
      <c r="E121" s="46"/>
      <c r="F121" s="46"/>
      <c r="G121" s="46"/>
      <c r="H121" s="46"/>
      <c r="K121" s="46"/>
    </row>
    <row r="122" spans="1:11" s="109" customFormat="1">
      <c r="A122" s="46"/>
      <c r="B122" s="46"/>
      <c r="C122" s="46"/>
      <c r="D122" s="46"/>
      <c r="E122" s="46"/>
      <c r="F122" s="46"/>
      <c r="G122" s="46"/>
      <c r="H122" s="46"/>
      <c r="K122" s="46"/>
    </row>
    <row r="123" spans="1:11" s="109" customFormat="1">
      <c r="A123" s="46"/>
      <c r="B123" s="46"/>
      <c r="C123" s="46"/>
      <c r="D123" s="46"/>
      <c r="E123" s="46"/>
      <c r="F123" s="46"/>
      <c r="G123" s="46"/>
      <c r="H123" s="46"/>
      <c r="K123" s="46"/>
    </row>
    <row r="124" spans="1:11" s="109" customFormat="1">
      <c r="A124" s="46"/>
      <c r="B124" s="46"/>
      <c r="C124" s="46"/>
      <c r="D124" s="46"/>
      <c r="E124" s="46"/>
      <c r="F124" s="46"/>
      <c r="G124" s="46"/>
      <c r="H124" s="46"/>
      <c r="K124" s="46"/>
    </row>
    <row r="125" spans="1:11" s="109" customFormat="1">
      <c r="A125" s="46"/>
      <c r="B125" s="46"/>
      <c r="C125" s="46"/>
      <c r="D125" s="46"/>
      <c r="E125" s="46"/>
      <c r="F125" s="46"/>
      <c r="G125" s="46"/>
      <c r="H125" s="46"/>
      <c r="K125" s="46"/>
    </row>
    <row r="126" spans="1:11" s="109" customFormat="1">
      <c r="A126" s="46"/>
      <c r="B126" s="46"/>
      <c r="C126" s="46"/>
      <c r="D126" s="46"/>
      <c r="E126" s="46"/>
      <c r="F126" s="46"/>
      <c r="G126" s="46"/>
      <c r="H126" s="46"/>
      <c r="K126" s="46"/>
    </row>
    <row r="127" spans="1:11" s="109" customFormat="1">
      <c r="A127" s="46"/>
      <c r="B127" s="46"/>
      <c r="C127" s="46"/>
      <c r="D127" s="46"/>
      <c r="E127" s="46"/>
      <c r="F127" s="46"/>
      <c r="G127" s="46"/>
      <c r="H127" s="46"/>
      <c r="K127" s="46"/>
    </row>
    <row r="128" spans="1:11" s="109" customFormat="1">
      <c r="A128" s="46"/>
      <c r="B128" s="46"/>
      <c r="C128" s="46"/>
      <c r="D128" s="46"/>
      <c r="E128" s="46"/>
      <c r="F128" s="46"/>
      <c r="G128" s="46"/>
      <c r="H128" s="46"/>
      <c r="K128" s="46"/>
    </row>
    <row r="129" spans="1:11" s="109" customFormat="1">
      <c r="A129" s="46"/>
      <c r="B129" s="46"/>
      <c r="C129" s="46"/>
      <c r="D129" s="46"/>
      <c r="E129" s="46"/>
      <c r="F129" s="46"/>
      <c r="G129" s="46"/>
      <c r="H129" s="46"/>
      <c r="K129" s="46"/>
    </row>
    <row r="130" spans="1:11" s="109" customFormat="1">
      <c r="A130" s="46"/>
      <c r="B130" s="46"/>
      <c r="C130" s="46"/>
      <c r="D130" s="46"/>
      <c r="E130" s="46"/>
      <c r="F130" s="46"/>
      <c r="G130" s="46"/>
      <c r="H130" s="46"/>
      <c r="K130" s="46"/>
    </row>
    <row r="131" spans="1:11" s="109" customFormat="1">
      <c r="A131" s="46"/>
      <c r="B131" s="46"/>
      <c r="C131" s="46"/>
      <c r="D131" s="46"/>
      <c r="E131" s="46"/>
      <c r="F131" s="46"/>
      <c r="G131" s="46"/>
      <c r="H131" s="46"/>
      <c r="K131" s="46"/>
    </row>
    <row r="132" spans="1:11" s="109" customFormat="1">
      <c r="A132" s="46"/>
      <c r="B132" s="46"/>
      <c r="C132" s="46"/>
      <c r="D132" s="46"/>
      <c r="E132" s="46"/>
      <c r="F132" s="46"/>
      <c r="G132" s="46"/>
      <c r="H132" s="46"/>
      <c r="K132" s="46"/>
    </row>
    <row r="133" spans="1:11" s="109" customFormat="1">
      <c r="A133" s="46"/>
      <c r="B133" s="46"/>
      <c r="C133" s="46"/>
      <c r="D133" s="46"/>
      <c r="E133" s="46"/>
      <c r="F133" s="46"/>
      <c r="G133" s="46"/>
      <c r="H133" s="46"/>
      <c r="K133" s="46"/>
    </row>
    <row r="134" spans="1:11" s="109" customFormat="1">
      <c r="A134" s="46"/>
      <c r="B134" s="46"/>
      <c r="C134" s="46"/>
      <c r="D134" s="46"/>
      <c r="E134" s="46"/>
      <c r="F134" s="46"/>
      <c r="G134" s="46"/>
      <c r="H134" s="46"/>
      <c r="K134" s="46"/>
    </row>
    <row r="135" spans="1:11" s="109" customFormat="1">
      <c r="A135" s="46"/>
      <c r="B135" s="46"/>
      <c r="C135" s="46"/>
      <c r="D135" s="46"/>
      <c r="E135" s="46"/>
      <c r="F135" s="46"/>
      <c r="G135" s="46"/>
      <c r="H135" s="46"/>
      <c r="K135" s="46"/>
    </row>
    <row r="136" spans="1:11" s="109" customFormat="1">
      <c r="A136" s="46"/>
      <c r="B136" s="46"/>
      <c r="C136" s="46"/>
      <c r="D136" s="46"/>
      <c r="E136" s="46"/>
      <c r="F136" s="46"/>
      <c r="G136" s="46"/>
      <c r="H136" s="46"/>
      <c r="K136" s="46"/>
    </row>
    <row r="137" spans="1:11" s="109" customFormat="1">
      <c r="A137" s="46"/>
      <c r="B137" s="46"/>
      <c r="C137" s="46"/>
      <c r="D137" s="46"/>
      <c r="E137" s="46"/>
      <c r="F137" s="46"/>
      <c r="G137" s="46"/>
      <c r="H137" s="46"/>
      <c r="K137" s="46"/>
    </row>
    <row r="138" spans="1:11" s="109" customFormat="1">
      <c r="A138" s="46"/>
      <c r="B138" s="46"/>
      <c r="C138" s="46"/>
      <c r="D138" s="46"/>
      <c r="E138" s="46"/>
      <c r="F138" s="46"/>
      <c r="G138" s="46"/>
      <c r="H138" s="46"/>
      <c r="K138" s="46"/>
    </row>
    <row r="139" spans="1:11" s="109" customFormat="1">
      <c r="A139" s="46"/>
      <c r="B139" s="46"/>
      <c r="C139" s="46"/>
      <c r="D139" s="46"/>
      <c r="E139" s="46"/>
      <c r="F139" s="46"/>
      <c r="G139" s="46"/>
      <c r="H139" s="46"/>
      <c r="K139" s="46"/>
    </row>
    <row r="140" spans="1:11" s="109" customFormat="1">
      <c r="A140" s="46"/>
      <c r="B140" s="46"/>
      <c r="C140" s="46"/>
      <c r="D140" s="46"/>
      <c r="E140" s="46"/>
      <c r="F140" s="46"/>
      <c r="G140" s="46"/>
      <c r="H140" s="46"/>
      <c r="K140" s="46"/>
    </row>
    <row r="141" spans="1:11" s="109" customFormat="1">
      <c r="A141" s="46"/>
      <c r="B141" s="46"/>
      <c r="C141" s="46"/>
      <c r="D141" s="46"/>
      <c r="E141" s="46"/>
      <c r="F141" s="46"/>
      <c r="G141" s="46"/>
      <c r="H141" s="46"/>
      <c r="K141" s="46"/>
    </row>
    <row r="142" spans="1:11" s="109" customFormat="1">
      <c r="A142" s="46"/>
      <c r="B142" s="46"/>
      <c r="C142" s="46"/>
      <c r="D142" s="46"/>
      <c r="E142" s="46"/>
      <c r="F142" s="46"/>
      <c r="G142" s="46"/>
      <c r="H142" s="46"/>
      <c r="K142" s="46"/>
    </row>
    <row r="143" spans="1:11" s="109" customFormat="1">
      <c r="A143" s="46"/>
      <c r="B143" s="46"/>
      <c r="C143" s="46"/>
      <c r="D143" s="46"/>
      <c r="E143" s="46"/>
      <c r="F143" s="46"/>
      <c r="G143" s="46"/>
      <c r="H143" s="46"/>
      <c r="K143" s="46"/>
    </row>
    <row r="144" spans="1:11" s="109" customFormat="1">
      <c r="A144" s="46"/>
      <c r="B144" s="46"/>
      <c r="C144" s="46"/>
      <c r="D144" s="46"/>
      <c r="E144" s="46"/>
      <c r="F144" s="46"/>
      <c r="G144" s="46"/>
      <c r="H144" s="46"/>
      <c r="K144" s="46"/>
    </row>
    <row r="145" spans="1:11" s="109" customFormat="1">
      <c r="A145" s="46"/>
      <c r="B145" s="46"/>
      <c r="C145" s="46"/>
      <c r="D145" s="46"/>
      <c r="E145" s="46"/>
      <c r="F145" s="46"/>
      <c r="G145" s="46"/>
      <c r="H145" s="46"/>
      <c r="K145" s="46"/>
    </row>
    <row r="146" spans="1:11" s="109" customFormat="1">
      <c r="A146" s="46"/>
      <c r="B146" s="46"/>
      <c r="C146" s="46"/>
      <c r="D146" s="46"/>
      <c r="E146" s="46"/>
      <c r="F146" s="46"/>
      <c r="G146" s="46"/>
      <c r="H146" s="46"/>
      <c r="K146" s="46"/>
    </row>
    <row r="147" spans="1:11" s="109" customFormat="1">
      <c r="A147" s="46"/>
      <c r="B147" s="46"/>
      <c r="C147" s="46"/>
      <c r="D147" s="46"/>
      <c r="E147" s="46"/>
      <c r="F147" s="46"/>
      <c r="G147" s="46"/>
      <c r="H147" s="46"/>
      <c r="K147" s="46"/>
    </row>
    <row r="148" spans="1:11" s="109" customFormat="1">
      <c r="A148" s="46"/>
      <c r="B148" s="46"/>
      <c r="C148" s="46"/>
      <c r="D148" s="46"/>
      <c r="E148" s="46"/>
      <c r="F148" s="46"/>
      <c r="G148" s="46"/>
      <c r="H148" s="46"/>
      <c r="K148" s="46"/>
    </row>
    <row r="149" spans="1:11" s="109" customFormat="1">
      <c r="A149" s="46"/>
      <c r="B149" s="46"/>
      <c r="C149" s="46"/>
      <c r="D149" s="46"/>
      <c r="E149" s="46"/>
      <c r="F149" s="46"/>
      <c r="G149" s="46"/>
      <c r="H149" s="46"/>
      <c r="K149" s="46"/>
    </row>
    <row r="150" spans="1:11" s="109" customFormat="1">
      <c r="A150" s="46"/>
      <c r="B150" s="46"/>
      <c r="C150" s="46"/>
      <c r="D150" s="46"/>
      <c r="E150" s="46"/>
      <c r="F150" s="46"/>
      <c r="G150" s="46"/>
      <c r="H150" s="46"/>
      <c r="K150" s="46"/>
    </row>
    <row r="151" spans="1:11" s="109" customFormat="1">
      <c r="A151" s="46"/>
      <c r="B151" s="46"/>
      <c r="C151" s="46"/>
      <c r="D151" s="46"/>
      <c r="E151" s="46"/>
      <c r="F151" s="46"/>
      <c r="G151" s="46"/>
      <c r="H151" s="46"/>
      <c r="K151" s="46"/>
    </row>
    <row r="152" spans="1:11" s="109" customFormat="1">
      <c r="A152" s="46"/>
      <c r="B152" s="46"/>
      <c r="C152" s="46"/>
      <c r="D152" s="46"/>
      <c r="E152" s="46"/>
      <c r="F152" s="46"/>
      <c r="G152" s="46"/>
      <c r="H152" s="46"/>
      <c r="K152" s="46"/>
    </row>
    <row r="153" spans="1:11" s="109" customFormat="1">
      <c r="A153" s="46"/>
      <c r="B153" s="46"/>
      <c r="C153" s="46"/>
      <c r="D153" s="46"/>
      <c r="E153" s="46"/>
      <c r="F153" s="46"/>
      <c r="G153" s="46"/>
      <c r="H153" s="46"/>
      <c r="K153" s="46"/>
    </row>
    <row r="154" spans="1:11" s="109" customFormat="1">
      <c r="A154" s="46"/>
      <c r="B154" s="46"/>
      <c r="C154" s="46"/>
      <c r="D154" s="46"/>
      <c r="E154" s="46"/>
      <c r="F154" s="46"/>
      <c r="G154" s="46"/>
      <c r="H154" s="46"/>
      <c r="K154" s="46"/>
    </row>
    <row r="155" spans="1:11" s="109" customFormat="1">
      <c r="A155" s="46"/>
      <c r="B155" s="46"/>
      <c r="C155" s="46"/>
      <c r="D155" s="46"/>
      <c r="E155" s="46"/>
      <c r="F155" s="46"/>
      <c r="G155" s="46"/>
      <c r="H155" s="46"/>
      <c r="K155" s="46"/>
    </row>
    <row r="156" spans="1:11" s="109" customFormat="1">
      <c r="A156" s="46"/>
      <c r="B156" s="46"/>
      <c r="C156" s="46"/>
      <c r="D156" s="46"/>
      <c r="E156" s="46"/>
      <c r="F156" s="46"/>
      <c r="G156" s="46"/>
      <c r="H156" s="46"/>
      <c r="K156" s="46"/>
    </row>
    <row r="157" spans="1:11" s="109" customFormat="1">
      <c r="A157" s="46"/>
      <c r="B157" s="46"/>
      <c r="C157" s="46"/>
      <c r="D157" s="46"/>
      <c r="E157" s="46"/>
      <c r="F157" s="46"/>
      <c r="G157" s="46"/>
      <c r="H157" s="46"/>
      <c r="K157" s="46"/>
    </row>
    <row r="158" spans="1:11" s="109" customFormat="1">
      <c r="A158" s="46"/>
      <c r="B158" s="46"/>
      <c r="C158" s="46"/>
      <c r="D158" s="46"/>
      <c r="E158" s="46"/>
      <c r="F158" s="46"/>
      <c r="G158" s="46"/>
      <c r="H158" s="46"/>
      <c r="K158" s="46"/>
    </row>
    <row r="159" spans="1:11" s="109" customFormat="1">
      <c r="A159" s="46"/>
      <c r="B159" s="46"/>
      <c r="C159" s="46"/>
      <c r="D159" s="46"/>
      <c r="E159" s="46"/>
      <c r="F159" s="46"/>
      <c r="G159" s="46"/>
      <c r="H159" s="46"/>
      <c r="K159" s="46"/>
    </row>
    <row r="160" spans="1:11" s="109" customFormat="1">
      <c r="A160" s="46"/>
      <c r="B160" s="46"/>
      <c r="C160" s="46"/>
      <c r="D160" s="46"/>
      <c r="E160" s="46"/>
      <c r="F160" s="46"/>
      <c r="G160" s="46"/>
      <c r="H160" s="46"/>
      <c r="K160" s="46"/>
    </row>
    <row r="161" spans="1:11" s="109" customFormat="1">
      <c r="A161" s="46"/>
      <c r="B161" s="46"/>
      <c r="C161" s="46"/>
      <c r="D161" s="46"/>
      <c r="E161" s="46"/>
      <c r="F161" s="46"/>
      <c r="G161" s="46"/>
      <c r="H161" s="46"/>
      <c r="K161" s="46"/>
    </row>
    <row r="162" spans="1:11" s="109" customFormat="1">
      <c r="A162" s="46"/>
      <c r="B162" s="46"/>
      <c r="C162" s="46"/>
      <c r="D162" s="46"/>
      <c r="E162" s="46"/>
      <c r="F162" s="46"/>
      <c r="G162" s="46"/>
      <c r="H162" s="46"/>
      <c r="K162" s="46"/>
    </row>
    <row r="163" spans="1:11" s="109" customFormat="1">
      <c r="A163" s="46"/>
      <c r="B163" s="46"/>
      <c r="C163" s="46"/>
      <c r="D163" s="46"/>
      <c r="E163" s="46"/>
      <c r="F163" s="46"/>
      <c r="G163" s="46"/>
      <c r="H163" s="46"/>
      <c r="K163" s="46"/>
    </row>
    <row r="164" spans="1:11" s="109" customFormat="1">
      <c r="A164" s="46"/>
      <c r="B164" s="46"/>
      <c r="C164" s="46"/>
      <c r="D164" s="46"/>
      <c r="E164" s="46"/>
      <c r="F164" s="46"/>
      <c r="G164" s="46"/>
      <c r="H164" s="46"/>
      <c r="K164" s="46"/>
    </row>
    <row r="165" spans="1:11" s="109" customFormat="1">
      <c r="A165" s="46"/>
      <c r="B165" s="46"/>
      <c r="C165" s="46"/>
      <c r="D165" s="46"/>
      <c r="E165" s="46"/>
      <c r="F165" s="46"/>
      <c r="G165" s="46"/>
      <c r="H165" s="46"/>
      <c r="K165" s="46"/>
    </row>
    <row r="166" spans="1:11" s="109" customFormat="1">
      <c r="A166" s="46"/>
      <c r="B166" s="46"/>
      <c r="C166" s="46"/>
      <c r="D166" s="46"/>
      <c r="E166" s="46"/>
      <c r="F166" s="46"/>
      <c r="G166" s="46"/>
      <c r="H166" s="46"/>
      <c r="K166" s="46"/>
    </row>
    <row r="167" spans="1:11" s="109" customFormat="1">
      <c r="A167" s="46"/>
      <c r="B167" s="46"/>
      <c r="C167" s="46"/>
      <c r="D167" s="46"/>
      <c r="E167" s="46"/>
      <c r="F167" s="46"/>
      <c r="G167" s="46"/>
      <c r="H167" s="46"/>
      <c r="K167" s="46"/>
    </row>
    <row r="168" spans="1:11" s="109" customFormat="1">
      <c r="A168" s="46"/>
      <c r="B168" s="46"/>
      <c r="C168" s="46"/>
      <c r="D168" s="46"/>
      <c r="E168" s="46"/>
      <c r="F168" s="46"/>
      <c r="G168" s="46"/>
      <c r="H168" s="46"/>
      <c r="K168" s="46"/>
    </row>
    <row r="169" spans="1:11" s="109" customFormat="1">
      <c r="A169" s="46"/>
      <c r="B169" s="46"/>
      <c r="C169" s="46"/>
      <c r="D169" s="46"/>
      <c r="E169" s="46"/>
      <c r="F169" s="46"/>
      <c r="G169" s="46"/>
      <c r="H169" s="46"/>
      <c r="K169" s="46"/>
    </row>
    <row r="170" spans="1:11" s="109" customFormat="1">
      <c r="A170" s="46"/>
      <c r="B170" s="46"/>
      <c r="C170" s="46"/>
      <c r="D170" s="46"/>
      <c r="E170" s="46"/>
      <c r="F170" s="46"/>
      <c r="G170" s="46"/>
      <c r="H170" s="46"/>
      <c r="K170" s="46"/>
    </row>
    <row r="171" spans="1:11" s="109" customFormat="1">
      <c r="A171" s="46"/>
      <c r="B171" s="46"/>
      <c r="C171" s="46"/>
      <c r="D171" s="46"/>
      <c r="E171" s="46"/>
      <c r="F171" s="46"/>
      <c r="G171" s="46"/>
      <c r="H171" s="46"/>
      <c r="K171" s="46"/>
    </row>
    <row r="172" spans="1:11" s="109" customFormat="1">
      <c r="A172" s="46"/>
      <c r="B172" s="46"/>
      <c r="C172" s="46"/>
      <c r="D172" s="46"/>
      <c r="E172" s="46"/>
      <c r="F172" s="46"/>
      <c r="G172" s="46"/>
      <c r="H172" s="46"/>
      <c r="K172" s="46"/>
    </row>
    <row r="173" spans="1:11" s="109" customFormat="1">
      <c r="A173" s="46"/>
      <c r="B173" s="46"/>
      <c r="C173" s="46"/>
      <c r="D173" s="46"/>
      <c r="E173" s="46"/>
      <c r="F173" s="46"/>
      <c r="G173" s="46"/>
      <c r="H173" s="46"/>
      <c r="K173" s="46"/>
    </row>
    <row r="174" spans="1:11" s="109" customFormat="1">
      <c r="A174" s="46"/>
      <c r="B174" s="46"/>
      <c r="C174" s="46"/>
      <c r="D174" s="46"/>
      <c r="E174" s="46"/>
      <c r="F174" s="46"/>
      <c r="G174" s="46"/>
      <c r="H174" s="46"/>
      <c r="K174" s="46"/>
    </row>
    <row r="175" spans="1:11" s="109" customFormat="1">
      <c r="A175" s="46"/>
      <c r="B175" s="46"/>
      <c r="C175" s="46"/>
      <c r="D175" s="46"/>
      <c r="E175" s="46"/>
      <c r="F175" s="46"/>
      <c r="G175" s="46"/>
      <c r="H175" s="46"/>
      <c r="K175" s="46"/>
    </row>
    <row r="176" spans="1:11" s="109" customFormat="1">
      <c r="A176" s="46"/>
      <c r="B176" s="46"/>
      <c r="C176" s="46"/>
      <c r="D176" s="46"/>
      <c r="E176" s="46"/>
      <c r="F176" s="46"/>
      <c r="G176" s="46"/>
      <c r="H176" s="46"/>
      <c r="K176" s="46"/>
    </row>
    <row r="177" spans="1:11" s="109" customFormat="1">
      <c r="A177" s="46"/>
      <c r="B177" s="46"/>
      <c r="C177" s="46"/>
      <c r="D177" s="46"/>
      <c r="E177" s="46"/>
      <c r="F177" s="46"/>
      <c r="G177" s="46"/>
      <c r="H177" s="46"/>
      <c r="K177" s="46"/>
    </row>
    <row r="178" spans="1:11" s="109" customFormat="1">
      <c r="A178" s="46"/>
      <c r="B178" s="46"/>
      <c r="C178" s="46"/>
      <c r="D178" s="46"/>
      <c r="E178" s="46"/>
      <c r="F178" s="46"/>
      <c r="G178" s="46"/>
      <c r="H178" s="46"/>
      <c r="K178" s="46"/>
    </row>
    <row r="179" spans="1:11" s="109" customFormat="1">
      <c r="A179" s="46"/>
      <c r="B179" s="46"/>
      <c r="C179" s="46"/>
      <c r="D179" s="46"/>
      <c r="E179" s="46"/>
      <c r="F179" s="46"/>
      <c r="G179" s="46"/>
      <c r="H179" s="46"/>
      <c r="K179" s="46"/>
    </row>
    <row r="180" spans="1:11" s="109" customFormat="1">
      <c r="A180" s="46"/>
      <c r="B180" s="46"/>
      <c r="C180" s="46"/>
      <c r="D180" s="46"/>
      <c r="E180" s="46"/>
      <c r="F180" s="46"/>
      <c r="G180" s="46"/>
      <c r="H180" s="46"/>
      <c r="K180" s="46"/>
    </row>
    <row r="181" spans="1:11" s="109" customFormat="1">
      <c r="A181" s="46"/>
      <c r="B181" s="46"/>
      <c r="C181" s="46"/>
      <c r="D181" s="46"/>
      <c r="E181" s="46"/>
      <c r="F181" s="46"/>
      <c r="G181" s="46"/>
      <c r="H181" s="46"/>
      <c r="K181" s="46"/>
    </row>
    <row r="182" spans="1:11" s="109" customFormat="1">
      <c r="A182" s="46"/>
      <c r="B182" s="46"/>
      <c r="C182" s="46"/>
      <c r="D182" s="46"/>
      <c r="E182" s="46"/>
      <c r="F182" s="46"/>
      <c r="G182" s="46"/>
      <c r="H182" s="46"/>
      <c r="K182" s="46"/>
    </row>
    <row r="183" spans="1:11" s="109" customFormat="1">
      <c r="A183" s="46"/>
      <c r="B183" s="46"/>
      <c r="C183" s="46"/>
      <c r="D183" s="46"/>
      <c r="E183" s="46"/>
      <c r="F183" s="46"/>
      <c r="G183" s="46"/>
      <c r="H183" s="46"/>
      <c r="K183" s="46"/>
    </row>
    <row r="184" spans="1:11" s="109" customFormat="1">
      <c r="A184" s="46"/>
      <c r="B184" s="46"/>
      <c r="C184" s="46"/>
      <c r="D184" s="46"/>
      <c r="E184" s="46"/>
      <c r="F184" s="46"/>
      <c r="G184" s="46"/>
      <c r="H184" s="46"/>
      <c r="K184" s="46"/>
    </row>
    <row r="185" spans="1:11" s="109" customFormat="1">
      <c r="A185" s="46"/>
      <c r="B185" s="46"/>
      <c r="C185" s="46"/>
      <c r="D185" s="46"/>
      <c r="E185" s="46"/>
      <c r="F185" s="46"/>
      <c r="G185" s="46"/>
      <c r="H185" s="46"/>
      <c r="K185" s="46"/>
    </row>
    <row r="186" spans="1:11" s="109" customFormat="1">
      <c r="A186" s="46"/>
      <c r="B186" s="46"/>
      <c r="C186" s="46"/>
      <c r="D186" s="46"/>
      <c r="E186" s="46"/>
      <c r="F186" s="46"/>
      <c r="G186" s="46"/>
      <c r="H186" s="46"/>
      <c r="K186" s="46"/>
    </row>
    <row r="187" spans="1:11" s="109" customFormat="1">
      <c r="A187" s="46"/>
      <c r="B187" s="46"/>
      <c r="C187" s="46"/>
      <c r="D187" s="46"/>
      <c r="E187" s="46"/>
      <c r="F187" s="46"/>
      <c r="G187" s="46"/>
      <c r="H187" s="46"/>
      <c r="K187" s="46"/>
    </row>
    <row r="188" spans="1:11" s="109" customFormat="1">
      <c r="A188" s="46"/>
      <c r="B188" s="46"/>
      <c r="C188" s="46"/>
      <c r="D188" s="46"/>
      <c r="E188" s="46"/>
      <c r="F188" s="46"/>
      <c r="G188" s="46"/>
      <c r="H188" s="46"/>
      <c r="K188" s="46"/>
    </row>
    <row r="189" spans="1:11" s="109" customFormat="1">
      <c r="A189" s="46"/>
      <c r="B189" s="46"/>
      <c r="C189" s="46"/>
      <c r="D189" s="46"/>
      <c r="E189" s="46"/>
      <c r="F189" s="46"/>
      <c r="G189" s="46"/>
      <c r="H189" s="46"/>
      <c r="K189" s="46"/>
    </row>
    <row r="190" spans="1:11" s="109" customFormat="1">
      <c r="A190" s="46"/>
      <c r="B190" s="46"/>
      <c r="C190" s="46"/>
      <c r="D190" s="46"/>
      <c r="E190" s="46"/>
      <c r="F190" s="46"/>
      <c r="G190" s="46"/>
      <c r="H190" s="46"/>
      <c r="K190" s="46"/>
    </row>
    <row r="191" spans="1:11" s="109" customFormat="1">
      <c r="A191" s="46"/>
      <c r="B191" s="46"/>
      <c r="C191" s="46"/>
      <c r="D191" s="46"/>
      <c r="E191" s="46"/>
      <c r="F191" s="46"/>
      <c r="G191" s="46"/>
      <c r="H191" s="46"/>
      <c r="K191" s="46"/>
    </row>
    <row r="192" spans="1:11" s="109" customFormat="1">
      <c r="A192" s="46"/>
      <c r="B192" s="46"/>
      <c r="C192" s="46"/>
      <c r="D192" s="46"/>
      <c r="E192" s="46"/>
      <c r="F192" s="46"/>
      <c r="G192" s="46"/>
      <c r="H192" s="46"/>
      <c r="K192" s="46"/>
    </row>
    <row r="193" spans="1:11" s="109" customFormat="1">
      <c r="A193" s="46"/>
      <c r="B193" s="46"/>
      <c r="C193" s="46"/>
      <c r="D193" s="46"/>
      <c r="E193" s="46"/>
      <c r="F193" s="46"/>
      <c r="G193" s="46"/>
      <c r="H193" s="46"/>
      <c r="K193" s="46"/>
    </row>
    <row r="194" spans="1:11" s="109" customFormat="1">
      <c r="A194" s="46"/>
      <c r="B194" s="46"/>
      <c r="C194" s="46"/>
      <c r="D194" s="46"/>
      <c r="E194" s="46"/>
      <c r="F194" s="46"/>
      <c r="G194" s="46"/>
      <c r="H194" s="46"/>
      <c r="K194" s="46"/>
    </row>
    <row r="195" spans="1:11" s="109" customFormat="1">
      <c r="A195" s="46"/>
      <c r="B195" s="46"/>
      <c r="C195" s="46"/>
      <c r="D195" s="46"/>
      <c r="E195" s="46"/>
      <c r="F195" s="46"/>
      <c r="G195" s="46"/>
      <c r="H195" s="46"/>
      <c r="K195" s="46"/>
    </row>
    <row r="196" spans="1:11" s="109" customFormat="1">
      <c r="A196" s="46"/>
      <c r="B196" s="46"/>
      <c r="C196" s="46"/>
      <c r="D196" s="46"/>
      <c r="E196" s="46"/>
      <c r="F196" s="46"/>
      <c r="G196" s="46"/>
      <c r="H196" s="46"/>
      <c r="K196" s="46"/>
    </row>
    <row r="197" spans="1:11" s="109" customFormat="1">
      <c r="A197" s="46"/>
      <c r="B197" s="46"/>
      <c r="C197" s="46"/>
      <c r="D197" s="46"/>
      <c r="E197" s="46"/>
      <c r="F197" s="46"/>
      <c r="G197" s="46"/>
      <c r="H197" s="46"/>
      <c r="K197" s="46"/>
    </row>
    <row r="198" spans="1:11" s="109" customFormat="1">
      <c r="A198" s="46"/>
      <c r="B198" s="46"/>
      <c r="C198" s="46"/>
      <c r="D198" s="46"/>
      <c r="E198" s="46"/>
      <c r="F198" s="46"/>
      <c r="G198" s="46"/>
      <c r="H198" s="46"/>
      <c r="K198" s="46"/>
    </row>
    <row r="199" spans="1:11" s="109" customFormat="1">
      <c r="A199" s="46"/>
      <c r="B199" s="46"/>
      <c r="C199" s="46"/>
      <c r="D199" s="46"/>
      <c r="E199" s="46"/>
      <c r="F199" s="46"/>
      <c r="G199" s="46"/>
      <c r="H199" s="46"/>
      <c r="K199" s="46"/>
    </row>
    <row r="200" spans="1:11" s="109" customFormat="1">
      <c r="A200" s="46"/>
      <c r="B200" s="46"/>
      <c r="C200" s="46"/>
      <c r="D200" s="46"/>
      <c r="E200" s="46"/>
      <c r="F200" s="46"/>
      <c r="G200" s="46"/>
      <c r="H200" s="46"/>
      <c r="K200" s="46"/>
    </row>
    <row r="201" spans="1:11" s="109" customFormat="1">
      <c r="A201" s="46"/>
      <c r="B201" s="46"/>
      <c r="C201" s="46"/>
      <c r="D201" s="46"/>
      <c r="E201" s="46"/>
      <c r="F201" s="46"/>
      <c r="G201" s="46"/>
      <c r="H201" s="46"/>
      <c r="K201" s="46"/>
    </row>
    <row r="202" spans="1:11" s="109" customFormat="1">
      <c r="A202" s="46"/>
      <c r="B202" s="46"/>
      <c r="C202" s="46"/>
      <c r="D202" s="46"/>
      <c r="E202" s="46"/>
      <c r="F202" s="46"/>
      <c r="G202" s="46"/>
      <c r="H202" s="46"/>
      <c r="K202" s="46"/>
    </row>
    <row r="203" spans="1:11" s="109" customFormat="1">
      <c r="A203" s="46"/>
      <c r="B203" s="46"/>
      <c r="C203" s="46"/>
      <c r="D203" s="46"/>
      <c r="E203" s="46"/>
      <c r="F203" s="46"/>
      <c r="G203" s="46"/>
      <c r="H203" s="46"/>
      <c r="K203" s="46"/>
    </row>
    <row r="204" spans="1:11" s="109" customFormat="1">
      <c r="A204" s="46"/>
      <c r="B204" s="46"/>
      <c r="C204" s="46"/>
      <c r="D204" s="46"/>
      <c r="E204" s="46"/>
      <c r="F204" s="46"/>
      <c r="G204" s="46"/>
      <c r="H204" s="46"/>
      <c r="K204" s="46"/>
    </row>
    <row r="205" spans="1:11" s="109" customFormat="1">
      <c r="A205" s="46"/>
      <c r="B205" s="46"/>
      <c r="C205" s="46"/>
      <c r="D205" s="46"/>
      <c r="E205" s="46"/>
      <c r="F205" s="46"/>
      <c r="G205" s="46"/>
      <c r="H205" s="46"/>
      <c r="K205" s="46"/>
    </row>
    <row r="206" spans="1:11" s="109" customFormat="1">
      <c r="A206" s="46"/>
      <c r="B206" s="46"/>
      <c r="C206" s="46"/>
      <c r="D206" s="46"/>
      <c r="E206" s="46"/>
      <c r="F206" s="46"/>
      <c r="G206" s="46"/>
      <c r="H206" s="46"/>
      <c r="K206" s="46"/>
    </row>
    <row r="207" spans="1:11" s="109" customFormat="1">
      <c r="A207" s="46"/>
      <c r="B207" s="46"/>
      <c r="C207" s="46"/>
      <c r="D207" s="46"/>
      <c r="E207" s="46"/>
      <c r="F207" s="46"/>
      <c r="G207" s="46"/>
      <c r="H207" s="46"/>
      <c r="K207" s="46"/>
    </row>
    <row r="208" spans="1:11" s="109" customFormat="1">
      <c r="A208" s="46"/>
      <c r="B208" s="46"/>
      <c r="C208" s="46"/>
      <c r="D208" s="46"/>
      <c r="E208" s="46"/>
      <c r="F208" s="46"/>
      <c r="G208" s="46"/>
      <c r="H208" s="46"/>
      <c r="K208" s="46"/>
    </row>
    <row r="209" spans="1:11" s="109" customFormat="1">
      <c r="A209" s="46"/>
      <c r="B209" s="46"/>
      <c r="C209" s="46"/>
      <c r="D209" s="46"/>
      <c r="E209" s="46"/>
      <c r="F209" s="46"/>
      <c r="G209" s="46"/>
      <c r="H209" s="46"/>
      <c r="K209" s="46"/>
    </row>
    <row r="210" spans="1:11" s="109" customFormat="1">
      <c r="A210" s="46"/>
      <c r="B210" s="46"/>
      <c r="C210" s="46"/>
      <c r="D210" s="46"/>
      <c r="E210" s="46"/>
      <c r="F210" s="46"/>
      <c r="G210" s="46"/>
      <c r="H210" s="46"/>
      <c r="K210" s="46"/>
    </row>
    <row r="211" spans="1:11" s="109" customFormat="1">
      <c r="A211" s="46"/>
      <c r="B211" s="46"/>
      <c r="C211" s="46"/>
      <c r="D211" s="46"/>
      <c r="E211" s="46"/>
      <c r="F211" s="46"/>
      <c r="G211" s="46"/>
      <c r="H211" s="46"/>
      <c r="K211" s="46"/>
    </row>
    <row r="212" spans="1:11" s="109" customFormat="1">
      <c r="A212" s="46"/>
      <c r="B212" s="46"/>
      <c r="C212" s="46"/>
      <c r="D212" s="46"/>
      <c r="E212" s="46"/>
      <c r="F212" s="46"/>
      <c r="G212" s="46"/>
      <c r="H212" s="46"/>
      <c r="K212" s="46"/>
    </row>
    <row r="213" spans="1:11" s="109" customFormat="1">
      <c r="A213" s="46"/>
      <c r="B213" s="46"/>
      <c r="C213" s="46"/>
      <c r="D213" s="46"/>
      <c r="E213" s="46"/>
      <c r="F213" s="46"/>
      <c r="G213" s="46"/>
      <c r="H213" s="46"/>
      <c r="K213" s="46"/>
    </row>
    <row r="214" spans="1:11" s="109" customFormat="1">
      <c r="A214" s="46"/>
      <c r="B214" s="46"/>
      <c r="C214" s="46"/>
      <c r="D214" s="46"/>
      <c r="E214" s="46"/>
      <c r="F214" s="46"/>
      <c r="G214" s="46"/>
      <c r="H214" s="46"/>
      <c r="K214" s="46"/>
    </row>
    <row r="215" spans="1:11" s="109" customFormat="1">
      <c r="A215" s="46"/>
      <c r="B215" s="46"/>
      <c r="C215" s="46"/>
      <c r="D215" s="46"/>
      <c r="E215" s="46"/>
      <c r="F215" s="46"/>
      <c r="G215" s="46"/>
      <c r="H215" s="46"/>
      <c r="K215" s="46"/>
    </row>
    <row r="216" spans="1:11" s="109" customFormat="1">
      <c r="A216" s="46"/>
      <c r="B216" s="46"/>
      <c r="C216" s="46"/>
      <c r="D216" s="46"/>
      <c r="E216" s="46"/>
      <c r="F216" s="46"/>
      <c r="G216" s="46"/>
      <c r="H216" s="46"/>
      <c r="K216" s="46"/>
    </row>
    <row r="217" spans="1:11" s="109" customFormat="1">
      <c r="A217" s="46"/>
      <c r="B217" s="46"/>
      <c r="C217" s="46"/>
      <c r="D217" s="46"/>
      <c r="E217" s="46"/>
      <c r="F217" s="46"/>
      <c r="G217" s="46"/>
      <c r="H217" s="46"/>
      <c r="K217" s="46"/>
    </row>
    <row r="218" spans="1:11" s="109" customFormat="1">
      <c r="A218" s="46"/>
      <c r="B218" s="46"/>
      <c r="C218" s="46"/>
      <c r="D218" s="46"/>
      <c r="E218" s="46"/>
      <c r="F218" s="46"/>
      <c r="G218" s="46"/>
      <c r="H218" s="46"/>
      <c r="K218" s="46"/>
    </row>
    <row r="219" spans="1:11" s="109" customFormat="1">
      <c r="A219" s="46"/>
      <c r="B219" s="46"/>
      <c r="C219" s="46"/>
      <c r="D219" s="46"/>
      <c r="E219" s="46"/>
      <c r="F219" s="46"/>
      <c r="G219" s="46"/>
      <c r="H219" s="46"/>
      <c r="K219" s="46"/>
    </row>
    <row r="220" spans="1:11" s="109" customFormat="1">
      <c r="A220" s="46"/>
      <c r="B220" s="46"/>
      <c r="C220" s="46"/>
      <c r="D220" s="46"/>
      <c r="E220" s="46"/>
      <c r="F220" s="46"/>
      <c r="G220" s="46"/>
      <c r="H220" s="46"/>
      <c r="K220" s="46"/>
    </row>
    <row r="221" spans="1:11" s="109" customFormat="1">
      <c r="A221" s="46"/>
      <c r="B221" s="46"/>
      <c r="C221" s="46"/>
      <c r="D221" s="46"/>
      <c r="E221" s="46"/>
      <c r="F221" s="46"/>
      <c r="G221" s="46"/>
      <c r="H221" s="46"/>
      <c r="K221" s="46"/>
    </row>
    <row r="222" spans="1:11" s="109" customFormat="1">
      <c r="A222" s="46"/>
      <c r="B222" s="46"/>
      <c r="C222" s="46"/>
      <c r="D222" s="46"/>
      <c r="E222" s="46"/>
      <c r="F222" s="46"/>
      <c r="G222" s="46"/>
      <c r="H222" s="46"/>
      <c r="K222" s="46"/>
    </row>
    <row r="223" spans="1:11" s="109" customFormat="1">
      <c r="A223" s="46"/>
      <c r="B223" s="46"/>
      <c r="C223" s="46"/>
      <c r="D223" s="46"/>
      <c r="E223" s="46"/>
      <c r="F223" s="46"/>
      <c r="G223" s="46"/>
      <c r="H223" s="46"/>
      <c r="K223" s="46"/>
    </row>
    <row r="224" spans="1:11" s="109" customFormat="1">
      <c r="A224" s="46"/>
      <c r="B224" s="46"/>
      <c r="C224" s="46"/>
      <c r="D224" s="46"/>
      <c r="E224" s="46"/>
      <c r="F224" s="46"/>
      <c r="G224" s="46"/>
      <c r="H224" s="46"/>
      <c r="K224" s="46"/>
    </row>
    <row r="225" spans="1:11" s="109" customFormat="1">
      <c r="A225" s="46"/>
      <c r="B225" s="46"/>
      <c r="C225" s="46"/>
      <c r="D225" s="46"/>
      <c r="E225" s="46"/>
      <c r="F225" s="46"/>
      <c r="G225" s="46"/>
      <c r="H225" s="46"/>
      <c r="K225" s="46"/>
    </row>
    <row r="226" spans="1:11" s="109" customFormat="1">
      <c r="A226" s="46"/>
      <c r="B226" s="46"/>
      <c r="C226" s="46"/>
      <c r="D226" s="46"/>
      <c r="E226" s="46"/>
      <c r="F226" s="46"/>
      <c r="G226" s="46"/>
      <c r="H226" s="46"/>
      <c r="K226" s="46"/>
    </row>
    <row r="227" spans="1:11" s="109" customFormat="1">
      <c r="A227" s="46"/>
      <c r="B227" s="46"/>
      <c r="C227" s="46"/>
      <c r="D227" s="46"/>
      <c r="E227" s="46"/>
      <c r="F227" s="46"/>
      <c r="G227" s="46"/>
      <c r="H227" s="46"/>
      <c r="K227" s="46"/>
    </row>
    <row r="228" spans="1:11" s="109" customFormat="1">
      <c r="A228" s="46"/>
      <c r="B228" s="46"/>
      <c r="C228" s="46"/>
      <c r="D228" s="46"/>
      <c r="E228" s="46"/>
      <c r="F228" s="46"/>
      <c r="G228" s="46"/>
      <c r="H228" s="46"/>
      <c r="K228" s="46"/>
    </row>
    <row r="229" spans="1:11" s="109" customFormat="1">
      <c r="A229" s="46"/>
      <c r="B229" s="46"/>
      <c r="C229" s="46"/>
      <c r="D229" s="46"/>
      <c r="E229" s="46"/>
      <c r="F229" s="46"/>
      <c r="G229" s="46"/>
      <c r="H229" s="46"/>
      <c r="K229" s="46"/>
    </row>
    <row r="230" spans="1:11" s="109" customFormat="1">
      <c r="A230" s="46"/>
      <c r="B230" s="46"/>
      <c r="C230" s="46"/>
      <c r="D230" s="46"/>
      <c r="E230" s="46"/>
      <c r="F230" s="46"/>
      <c r="G230" s="46"/>
      <c r="H230" s="46"/>
      <c r="K230" s="46"/>
    </row>
    <row r="231" spans="1:11" s="109" customFormat="1">
      <c r="A231" s="46"/>
      <c r="B231" s="46"/>
      <c r="C231" s="46"/>
      <c r="D231" s="46"/>
      <c r="E231" s="46"/>
      <c r="F231" s="46"/>
      <c r="G231" s="46"/>
      <c r="H231" s="46"/>
      <c r="K231" s="46"/>
    </row>
  </sheetData>
  <mergeCells count="3">
    <mergeCell ref="A2:J2"/>
    <mergeCell ref="A3:J3"/>
    <mergeCell ref="A4:J4"/>
  </mergeCells>
  <pageMargins left="0.27" right="0.15" top="0.39" bottom="0.1" header="0.21" footer="0.1"/>
  <pageSetup scale="90" orientation="portrait" horizontalDpi="300" verticalDpi="30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FF00"/>
  </sheetPr>
  <dimension ref="A1:N231"/>
  <sheetViews>
    <sheetView topLeftCell="A25" workbookViewId="0">
      <selection activeCell="J13" sqref="J13"/>
    </sheetView>
  </sheetViews>
  <sheetFormatPr defaultRowHeight="12.75"/>
  <cols>
    <col min="1" max="1" width="6" style="46" customWidth="1"/>
    <col min="2" max="3" width="9.140625" style="46"/>
    <col min="4" max="4" width="16.5703125" style="46" customWidth="1"/>
    <col min="5" max="5" width="12.42578125" style="46" customWidth="1"/>
    <col min="6" max="6" width="13.140625" style="46" customWidth="1"/>
    <col min="7" max="7" width="10" style="46" customWidth="1"/>
    <col min="8" max="8" width="11.5703125" style="46" customWidth="1"/>
    <col min="9" max="9" width="11.42578125" style="46" customWidth="1"/>
    <col min="10" max="10" width="13.28515625" style="109" customWidth="1"/>
    <col min="11" max="11" width="15.7109375" style="46" customWidth="1"/>
    <col min="12" max="12" width="16.85546875" style="109" customWidth="1"/>
    <col min="13" max="13" width="17" style="109" customWidth="1"/>
    <col min="14" max="14" width="17" style="46" customWidth="1"/>
    <col min="15" max="16384" width="9.140625" style="46"/>
  </cols>
  <sheetData>
    <row r="1" spans="1:13">
      <c r="A1" s="47"/>
      <c r="B1" s="48"/>
      <c r="C1" s="48"/>
      <c r="D1" s="48"/>
      <c r="E1" s="48"/>
      <c r="F1" s="48"/>
      <c r="G1" s="48"/>
      <c r="H1" s="48"/>
      <c r="I1" s="48"/>
      <c r="J1" s="169" t="s">
        <v>81</v>
      </c>
    </row>
    <row r="2" spans="1:13">
      <c r="A2" s="389" t="s">
        <v>80</v>
      </c>
      <c r="B2" s="390"/>
      <c r="C2" s="390"/>
      <c r="D2" s="390"/>
      <c r="E2" s="390"/>
      <c r="F2" s="390"/>
      <c r="G2" s="390"/>
      <c r="H2" s="390"/>
      <c r="I2" s="390"/>
      <c r="J2" s="391"/>
    </row>
    <row r="3" spans="1:13">
      <c r="A3" s="389" t="s">
        <v>196</v>
      </c>
      <c r="B3" s="390"/>
      <c r="C3" s="390"/>
      <c r="D3" s="390"/>
      <c r="E3" s="390"/>
      <c r="F3" s="390"/>
      <c r="G3" s="390"/>
      <c r="H3" s="390"/>
      <c r="I3" s="390"/>
      <c r="J3" s="391"/>
    </row>
    <row r="4" spans="1:13">
      <c r="A4" s="389"/>
      <c r="B4" s="390"/>
      <c r="C4" s="390"/>
      <c r="D4" s="390"/>
      <c r="E4" s="390"/>
      <c r="F4" s="390"/>
      <c r="G4" s="390"/>
      <c r="H4" s="390"/>
      <c r="I4" s="390"/>
      <c r="J4" s="391"/>
    </row>
    <row r="5" spans="1:13">
      <c r="A5" s="54" t="s">
        <v>77</v>
      </c>
      <c r="B5" s="201"/>
      <c r="C5" s="201"/>
      <c r="D5" s="201"/>
      <c r="E5" s="201"/>
      <c r="F5" s="201"/>
      <c r="G5" s="201"/>
      <c r="H5" s="201"/>
      <c r="I5" s="201"/>
      <c r="J5" s="170"/>
    </row>
    <row r="6" spans="1:13">
      <c r="A6" s="54" t="s">
        <v>76</v>
      </c>
      <c r="B6" s="55"/>
      <c r="C6" s="55"/>
      <c r="D6" s="55"/>
      <c r="E6" s="55"/>
      <c r="F6" s="55"/>
      <c r="G6" s="55"/>
      <c r="H6" s="55"/>
      <c r="I6" s="55"/>
      <c r="J6" s="171"/>
    </row>
    <row r="7" spans="1:13">
      <c r="A7" s="47"/>
      <c r="B7" s="48"/>
      <c r="C7" s="48"/>
      <c r="D7" s="49"/>
      <c r="E7" s="88" t="s">
        <v>8</v>
      </c>
      <c r="F7" s="50"/>
      <c r="G7" s="52"/>
      <c r="H7" s="52"/>
      <c r="I7" s="53"/>
      <c r="J7" s="110"/>
    </row>
    <row r="8" spans="1:13">
      <c r="A8" s="54"/>
      <c r="B8" s="55"/>
      <c r="C8" s="55"/>
      <c r="D8" s="56"/>
      <c r="E8" s="200" t="s">
        <v>9</v>
      </c>
      <c r="F8" s="53"/>
      <c r="G8" s="59"/>
      <c r="H8" s="59"/>
      <c r="I8" s="58"/>
      <c r="J8" s="111"/>
    </row>
    <row r="9" spans="1:13">
      <c r="A9" s="61" t="s">
        <v>68</v>
      </c>
      <c r="B9" s="55"/>
      <c r="C9" s="55"/>
      <c r="D9" s="56"/>
      <c r="E9" s="200" t="s">
        <v>10</v>
      </c>
      <c r="F9" s="60" t="s">
        <v>12</v>
      </c>
      <c r="G9" s="60" t="s">
        <v>14</v>
      </c>
      <c r="H9" s="60" t="s">
        <v>20</v>
      </c>
      <c r="I9" s="60" t="s">
        <v>22</v>
      </c>
      <c r="J9" s="112" t="s">
        <v>24</v>
      </c>
    </row>
    <row r="10" spans="1:13">
      <c r="A10" s="54"/>
      <c r="B10" s="55"/>
      <c r="C10" s="55"/>
      <c r="D10" s="56"/>
      <c r="E10" s="200" t="s">
        <v>11</v>
      </c>
      <c r="F10" s="60" t="s">
        <v>13</v>
      </c>
      <c r="G10" s="59"/>
      <c r="H10" s="60" t="s">
        <v>21</v>
      </c>
      <c r="I10" s="60" t="s">
        <v>23</v>
      </c>
      <c r="J10" s="111"/>
    </row>
    <row r="11" spans="1:13">
      <c r="A11" s="62"/>
      <c r="B11" s="63"/>
      <c r="C11" s="63"/>
      <c r="D11" s="64"/>
      <c r="E11" s="65">
        <v>0.3</v>
      </c>
      <c r="F11" s="66">
        <v>0.7</v>
      </c>
      <c r="G11" s="59"/>
      <c r="H11" s="67"/>
      <c r="I11" s="68"/>
      <c r="J11" s="113"/>
    </row>
    <row r="12" spans="1:13" ht="18" customHeight="1">
      <c r="A12" s="70" t="s">
        <v>0</v>
      </c>
      <c r="B12" s="71"/>
      <c r="C12" s="71"/>
      <c r="D12" s="72"/>
      <c r="E12" s="51"/>
      <c r="F12" s="51"/>
      <c r="G12" s="51"/>
      <c r="H12" s="51"/>
      <c r="I12" s="51"/>
      <c r="J12" s="110"/>
      <c r="L12" s="118" t="s">
        <v>90</v>
      </c>
      <c r="M12" s="118" t="s">
        <v>89</v>
      </c>
    </row>
    <row r="13" spans="1:13" ht="18" customHeight="1">
      <c r="A13" s="73" t="s">
        <v>1</v>
      </c>
      <c r="B13" s="72"/>
      <c r="C13" s="72"/>
      <c r="D13" s="72"/>
      <c r="E13" s="94">
        <f>M19*0.3</f>
        <v>930424.84065000026</v>
      </c>
      <c r="F13" s="94">
        <f>M19*0.7</f>
        <v>2170991.2948500006</v>
      </c>
      <c r="G13" s="94"/>
      <c r="H13" s="94"/>
      <c r="I13" s="94"/>
      <c r="J13" s="275">
        <f>SUM(E13:I13)</f>
        <v>3101416.1355000008</v>
      </c>
      <c r="K13" s="175" t="e">
        <f>SUM(J13+#REF!+#REF!+#REF!+#REF!+#REF!+#REF!+#REF!+#REF!+#REF!+#REF!+#REF!)</f>
        <v>#REF!</v>
      </c>
      <c r="L13" s="109">
        <v>21367644.399999999</v>
      </c>
      <c r="M13" s="109">
        <v>4171566.4</v>
      </c>
    </row>
    <row r="14" spans="1:13" ht="18" customHeight="1">
      <c r="A14" s="73" t="s">
        <v>2</v>
      </c>
      <c r="B14" s="72"/>
      <c r="C14" s="72"/>
      <c r="D14" s="72"/>
      <c r="E14" s="102"/>
      <c r="F14" s="102"/>
      <c r="G14" s="102"/>
      <c r="H14" s="102"/>
      <c r="I14" s="102"/>
      <c r="J14" s="110">
        <f>SUM(E14:I14)</f>
        <v>0</v>
      </c>
      <c r="K14" s="117" t="s">
        <v>88</v>
      </c>
      <c r="L14" s="109">
        <v>9400000</v>
      </c>
      <c r="M14" s="109">
        <v>5637398.9699999997</v>
      </c>
    </row>
    <row r="15" spans="1:13" ht="18" customHeight="1">
      <c r="A15" s="75" t="s">
        <v>3</v>
      </c>
      <c r="B15" s="48"/>
      <c r="C15" s="48"/>
      <c r="D15" s="48"/>
      <c r="E15" s="102"/>
      <c r="F15" s="102"/>
      <c r="G15" s="102"/>
      <c r="H15" s="102"/>
      <c r="I15" s="102"/>
      <c r="J15" s="110"/>
      <c r="L15" s="116">
        <f>SUM(L13:L14)</f>
        <v>30767644.399999999</v>
      </c>
      <c r="M15" s="116">
        <f>SUM(M13:M14)</f>
        <v>9808965.3699999992</v>
      </c>
    </row>
    <row r="16" spans="1:13" ht="18" customHeight="1">
      <c r="A16" s="76" t="s">
        <v>78</v>
      </c>
      <c r="B16" s="55"/>
      <c r="C16" s="55"/>
      <c r="D16" s="55"/>
      <c r="E16" s="103"/>
      <c r="F16" s="103"/>
      <c r="G16" s="103"/>
      <c r="H16" s="103"/>
      <c r="I16" s="103"/>
      <c r="J16" s="113">
        <f>SUM(E16:I16)</f>
        <v>0</v>
      </c>
      <c r="K16" s="46">
        <v>11930281.960000001</v>
      </c>
    </row>
    <row r="17" spans="1:13" ht="18" customHeight="1">
      <c r="A17" s="77" t="s">
        <v>79</v>
      </c>
      <c r="B17" s="72"/>
      <c r="C17" s="72"/>
      <c r="D17" s="72"/>
      <c r="E17" s="94"/>
      <c r="F17" s="94"/>
      <c r="G17" s="94"/>
      <c r="H17" s="94"/>
      <c r="I17" s="94"/>
      <c r="J17" s="113">
        <f>SUM(E17:I17)</f>
        <v>0</v>
      </c>
      <c r="K17" s="173">
        <f>K16-J16</f>
        <v>11930281.960000001</v>
      </c>
      <c r="M17" s="109">
        <v>25936573.030000001</v>
      </c>
    </row>
    <row r="18" spans="1:13" ht="18" customHeight="1">
      <c r="A18" s="70" t="s">
        <v>7</v>
      </c>
      <c r="B18" s="72"/>
      <c r="C18" s="72"/>
      <c r="D18" s="72"/>
      <c r="E18" s="119">
        <f>SUM(E13:E17)</f>
        <v>930424.84065000026</v>
      </c>
      <c r="F18" s="119">
        <f t="shared" ref="F18:J18" si="0">SUM(F13:F17)</f>
        <v>2170991.2948500006</v>
      </c>
      <c r="G18" s="119">
        <f t="shared" si="0"/>
        <v>0</v>
      </c>
      <c r="H18" s="119">
        <f t="shared" si="0"/>
        <v>0</v>
      </c>
      <c r="I18" s="119">
        <f t="shared" si="0"/>
        <v>0</v>
      </c>
      <c r="J18" s="119">
        <f t="shared" si="0"/>
        <v>3101416.1355000008</v>
      </c>
      <c r="K18" s="166">
        <f t="shared" ref="K18:K40" si="1">SUM(E18:I18)</f>
        <v>3101416.1355000008</v>
      </c>
      <c r="L18" s="193" t="s">
        <v>171</v>
      </c>
      <c r="M18" s="192">
        <f>207250821.99-145222499.28</f>
        <v>62028322.710000008</v>
      </c>
    </row>
    <row r="19" spans="1:13" s="109" customFormat="1" ht="18" customHeight="1">
      <c r="A19" s="74" t="s">
        <v>99</v>
      </c>
      <c r="B19" s="72" t="s">
        <v>100</v>
      </c>
      <c r="C19" s="72"/>
      <c r="D19" s="72"/>
      <c r="E19" s="94">
        <f>SUM('DRRM Funds March 2014 '!E41)</f>
        <v>10335297.009199999</v>
      </c>
      <c r="F19" s="94">
        <f>SUM('DRRM Funds March 2014 '!F41)</f>
        <v>19927363.114799999</v>
      </c>
      <c r="G19" s="94">
        <f>SUM('DRRM Funds March 2014 '!G41)</f>
        <v>0</v>
      </c>
      <c r="H19" s="94">
        <f>SUM('DRRM Funds March 2014 '!H41)</f>
        <v>10140</v>
      </c>
      <c r="I19" s="94">
        <f>SUM('DRRM Funds March 2014 '!I41)</f>
        <v>0</v>
      </c>
      <c r="J19" s="94">
        <f>SUM('DRRM Funds March 2014 '!J41)</f>
        <v>30272800.123999998</v>
      </c>
      <c r="K19" s="166">
        <f t="shared" si="1"/>
        <v>30272800.123999998</v>
      </c>
      <c r="L19" s="194">
        <v>0.05</v>
      </c>
      <c r="M19" s="192">
        <f>M18*0.05</f>
        <v>3101416.1355000008</v>
      </c>
    </row>
    <row r="20" spans="1:13" s="109" customFormat="1" ht="18" customHeight="1">
      <c r="A20" s="70" t="s">
        <v>101</v>
      </c>
      <c r="B20" s="122"/>
      <c r="C20" s="72"/>
      <c r="D20" s="72"/>
      <c r="E20" s="119">
        <f>SUM(E18:E19)</f>
        <v>11265721.849849999</v>
      </c>
      <c r="F20" s="119">
        <f t="shared" ref="F20:J20" si="2">SUM(F18:F19)</f>
        <v>22098354.409649998</v>
      </c>
      <c r="G20" s="119">
        <f t="shared" si="2"/>
        <v>0</v>
      </c>
      <c r="H20" s="119">
        <f t="shared" si="2"/>
        <v>10140</v>
      </c>
      <c r="I20" s="119">
        <f t="shared" si="2"/>
        <v>0</v>
      </c>
      <c r="J20" s="119">
        <f t="shared" si="2"/>
        <v>33374216.259499997</v>
      </c>
      <c r="K20" s="166">
        <f t="shared" si="1"/>
        <v>33374216.259499997</v>
      </c>
    </row>
    <row r="21" spans="1:13" ht="18" customHeight="1">
      <c r="A21" s="70" t="s">
        <v>15</v>
      </c>
      <c r="B21" s="72"/>
      <c r="C21" s="72"/>
      <c r="D21" s="72"/>
      <c r="E21" s="94"/>
      <c r="F21" s="94"/>
      <c r="G21" s="94"/>
      <c r="H21" s="94"/>
      <c r="I21" s="94"/>
      <c r="J21" s="111"/>
      <c r="K21" s="166">
        <f t="shared" si="1"/>
        <v>0</v>
      </c>
      <c r="M21" s="109">
        <v>26972032.48</v>
      </c>
    </row>
    <row r="22" spans="1:13" ht="18" customHeight="1">
      <c r="A22" s="78" t="s">
        <v>16</v>
      </c>
      <c r="B22" s="72"/>
      <c r="C22" s="72"/>
      <c r="D22" s="72"/>
      <c r="E22" s="94"/>
      <c r="F22" s="94"/>
      <c r="G22" s="94"/>
      <c r="H22" s="94"/>
      <c r="I22" s="94"/>
      <c r="J22" s="114">
        <f t="shared" ref="J22" si="3">SUM(E22:I22)</f>
        <v>0</v>
      </c>
      <c r="K22" s="166">
        <f t="shared" si="1"/>
        <v>0</v>
      </c>
      <c r="L22" s="176">
        <f>518731460.56*0.05</f>
        <v>25936573.028000001</v>
      </c>
      <c r="M22" s="109">
        <v>10934284.82</v>
      </c>
    </row>
    <row r="23" spans="1:13" ht="18" customHeight="1">
      <c r="A23" s="78" t="s">
        <v>70</v>
      </c>
      <c r="B23" s="72"/>
      <c r="C23" s="72"/>
      <c r="D23" s="72"/>
      <c r="E23" s="94"/>
      <c r="F23" s="94">
        <f>45060+6210+5400+16800+32897</f>
        <v>106367</v>
      </c>
      <c r="G23" s="94"/>
      <c r="H23" s="94"/>
      <c r="I23" s="94"/>
      <c r="J23" s="114">
        <f>SUM(E23:I23)</f>
        <v>106367</v>
      </c>
      <c r="K23" s="166">
        <f t="shared" si="1"/>
        <v>106367</v>
      </c>
      <c r="L23" s="109" t="e">
        <f>L22-K13</f>
        <v>#REF!</v>
      </c>
      <c r="M23" s="109">
        <f>M21-M22</f>
        <v>16037747.66</v>
      </c>
    </row>
    <row r="24" spans="1:13" ht="18" customHeight="1">
      <c r="A24" s="78" t="s">
        <v>71</v>
      </c>
      <c r="B24" s="72"/>
      <c r="C24" s="72"/>
      <c r="D24" s="72"/>
      <c r="E24" s="94"/>
      <c r="F24" s="94">
        <f>1585+3200+9000+4200+4950+18275.05+232836.5</f>
        <v>274046.55</v>
      </c>
      <c r="G24" s="94"/>
      <c r="H24" s="94"/>
      <c r="I24" s="94"/>
      <c r="J24" s="114">
        <f t="shared" ref="J24:J37" si="4">SUM(E24:I24)</f>
        <v>274046.55</v>
      </c>
      <c r="K24" s="166">
        <f t="shared" si="1"/>
        <v>274046.55</v>
      </c>
    </row>
    <row r="25" spans="1:13" ht="18" customHeight="1">
      <c r="A25" s="79" t="s">
        <v>91</v>
      </c>
      <c r="B25" s="72"/>
      <c r="C25" s="72"/>
      <c r="D25" s="72"/>
      <c r="E25" s="94"/>
      <c r="F25" s="94">
        <f>16800+5000+3000</f>
        <v>24800</v>
      </c>
      <c r="G25" s="94"/>
      <c r="H25" s="94"/>
      <c r="I25" s="94"/>
      <c r="J25" s="114">
        <f t="shared" si="4"/>
        <v>24800</v>
      </c>
      <c r="K25" s="166">
        <f t="shared" si="1"/>
        <v>24800</v>
      </c>
    </row>
    <row r="26" spans="1:13" ht="18" customHeight="1">
      <c r="A26" s="78" t="s">
        <v>17</v>
      </c>
      <c r="B26" s="72"/>
      <c r="C26" s="72"/>
      <c r="D26" s="72"/>
      <c r="E26" s="94"/>
      <c r="F26" s="94"/>
      <c r="G26" s="94"/>
      <c r="H26" s="94"/>
      <c r="I26" s="94"/>
      <c r="J26" s="114">
        <f t="shared" si="4"/>
        <v>0</v>
      </c>
      <c r="K26" s="166">
        <f t="shared" si="1"/>
        <v>0</v>
      </c>
    </row>
    <row r="27" spans="1:13" ht="18" customHeight="1">
      <c r="A27" s="78" t="s">
        <v>18</v>
      </c>
      <c r="B27" s="72"/>
      <c r="C27" s="72"/>
      <c r="D27" s="72"/>
      <c r="E27" s="94"/>
      <c r="F27" s="94"/>
      <c r="G27" s="94"/>
      <c r="H27" s="94"/>
      <c r="I27" s="94"/>
      <c r="J27" s="114">
        <f t="shared" si="4"/>
        <v>0</v>
      </c>
      <c r="K27" s="166">
        <f t="shared" si="1"/>
        <v>0</v>
      </c>
      <c r="L27" s="118" t="s">
        <v>162</v>
      </c>
    </row>
    <row r="28" spans="1:13" ht="18" customHeight="1">
      <c r="A28" s="78" t="s">
        <v>102</v>
      </c>
      <c r="B28" s="72"/>
      <c r="C28" s="72"/>
      <c r="D28" s="72"/>
      <c r="E28" s="94"/>
      <c r="F28" s="94"/>
      <c r="G28" s="94"/>
      <c r="H28" s="94"/>
      <c r="I28" s="94"/>
      <c r="J28" s="114">
        <f t="shared" si="4"/>
        <v>0</v>
      </c>
      <c r="K28" s="166">
        <f t="shared" si="1"/>
        <v>0</v>
      </c>
      <c r="L28" s="109">
        <f>SUM(F27:F28)</f>
        <v>0</v>
      </c>
    </row>
    <row r="29" spans="1:13" ht="18" customHeight="1">
      <c r="A29" s="78" t="s">
        <v>19</v>
      </c>
      <c r="B29" s="72"/>
      <c r="C29" s="72"/>
      <c r="D29" s="72"/>
      <c r="E29" s="94"/>
      <c r="F29" s="94"/>
      <c r="G29" s="94"/>
      <c r="H29" s="94"/>
      <c r="I29" s="94"/>
      <c r="J29" s="114">
        <f t="shared" si="4"/>
        <v>0</v>
      </c>
      <c r="K29" s="166">
        <f t="shared" si="1"/>
        <v>0</v>
      </c>
      <c r="L29" s="109">
        <v>147060</v>
      </c>
    </row>
    <row r="30" spans="1:13" ht="18" customHeight="1">
      <c r="A30" s="78" t="s">
        <v>168</v>
      </c>
      <c r="B30" s="72"/>
      <c r="C30" s="72"/>
      <c r="D30" s="72"/>
      <c r="E30" s="94"/>
      <c r="F30" s="94"/>
      <c r="G30" s="94"/>
      <c r="H30" s="94"/>
      <c r="I30" s="94"/>
      <c r="J30" s="114">
        <f t="shared" si="4"/>
        <v>0</v>
      </c>
      <c r="K30" s="166">
        <f t="shared" si="1"/>
        <v>0</v>
      </c>
    </row>
    <row r="31" spans="1:13" ht="18" customHeight="1">
      <c r="A31" s="78" t="s">
        <v>98</v>
      </c>
      <c r="B31" s="72"/>
      <c r="C31" s="72"/>
      <c r="D31" s="72"/>
      <c r="E31" s="94"/>
      <c r="F31" s="94"/>
      <c r="G31" s="94"/>
      <c r="H31" s="94"/>
      <c r="I31" s="94"/>
      <c r="J31" s="114"/>
      <c r="K31" s="166">
        <f t="shared" si="1"/>
        <v>0</v>
      </c>
      <c r="L31" s="109">
        <v>1555500</v>
      </c>
    </row>
    <row r="32" spans="1:13" ht="18" customHeight="1">
      <c r="A32" s="78"/>
      <c r="B32" s="72" t="s">
        <v>5</v>
      </c>
      <c r="C32" s="72"/>
      <c r="D32" s="72"/>
      <c r="E32" s="94"/>
      <c r="F32" s="94"/>
      <c r="G32" s="94"/>
      <c r="H32" s="94"/>
      <c r="I32" s="94"/>
      <c r="J32" s="114">
        <f t="shared" si="4"/>
        <v>0</v>
      </c>
      <c r="K32" s="166">
        <f t="shared" si="1"/>
        <v>0</v>
      </c>
      <c r="L32" s="109">
        <v>229640</v>
      </c>
      <c r="M32" s="109">
        <v>2313123</v>
      </c>
    </row>
    <row r="33" spans="1:14" ht="18" customHeight="1">
      <c r="A33" s="78"/>
      <c r="B33" s="72" t="s">
        <v>97</v>
      </c>
      <c r="C33" s="72"/>
      <c r="D33" s="72"/>
      <c r="E33" s="94"/>
      <c r="F33" s="94"/>
      <c r="G33" s="94"/>
      <c r="H33" s="94"/>
      <c r="I33" s="94"/>
      <c r="J33" s="114">
        <f t="shared" si="4"/>
        <v>0</v>
      </c>
      <c r="K33" s="166">
        <f t="shared" si="1"/>
        <v>0</v>
      </c>
      <c r="L33" s="109">
        <v>2209000</v>
      </c>
    </row>
    <row r="34" spans="1:14" ht="18" customHeight="1">
      <c r="A34" s="78" t="s">
        <v>75</v>
      </c>
      <c r="B34" s="72"/>
      <c r="C34" s="72"/>
      <c r="D34" s="72"/>
      <c r="E34" s="94"/>
      <c r="F34" s="94"/>
      <c r="G34" s="94"/>
      <c r="H34" s="94"/>
      <c r="I34" s="94"/>
      <c r="J34" s="114">
        <f t="shared" si="4"/>
        <v>0</v>
      </c>
      <c r="K34" s="166">
        <f t="shared" si="1"/>
        <v>0</v>
      </c>
      <c r="L34" s="109">
        <v>173800</v>
      </c>
    </row>
    <row r="35" spans="1:14" ht="18" customHeight="1">
      <c r="A35" s="79" t="s">
        <v>94</v>
      </c>
      <c r="B35" s="72"/>
      <c r="C35" s="72"/>
      <c r="D35" s="72"/>
      <c r="E35" s="94"/>
      <c r="F35" s="94"/>
      <c r="G35" s="94"/>
      <c r="H35" s="94"/>
      <c r="I35" s="94"/>
      <c r="J35" s="114">
        <f t="shared" si="4"/>
        <v>0</v>
      </c>
      <c r="K35" s="166">
        <f t="shared" si="1"/>
        <v>0</v>
      </c>
      <c r="L35" s="109">
        <v>177000</v>
      </c>
    </row>
    <row r="36" spans="1:14" ht="18" customHeight="1">
      <c r="A36" s="79" t="s">
        <v>95</v>
      </c>
      <c r="B36" s="72"/>
      <c r="C36" s="72"/>
      <c r="D36" s="72"/>
      <c r="E36" s="94">
        <v>28983</v>
      </c>
      <c r="F36" s="94"/>
      <c r="G36" s="94"/>
      <c r="H36" s="94"/>
      <c r="I36" s="94"/>
      <c r="J36" s="114">
        <f t="shared" si="4"/>
        <v>28983</v>
      </c>
      <c r="K36" s="166">
        <f t="shared" si="1"/>
        <v>28983</v>
      </c>
      <c r="L36" s="109">
        <v>204055</v>
      </c>
    </row>
    <row r="37" spans="1:14" ht="18" customHeight="1">
      <c r="A37" s="78" t="s">
        <v>96</v>
      </c>
      <c r="B37" s="72"/>
      <c r="C37" s="72"/>
      <c r="D37" s="72"/>
      <c r="E37" s="94"/>
      <c r="F37" s="94"/>
      <c r="G37" s="94"/>
      <c r="H37" s="94"/>
      <c r="I37" s="94"/>
      <c r="J37" s="114">
        <f t="shared" si="4"/>
        <v>0</v>
      </c>
      <c r="K37" s="166">
        <f t="shared" si="1"/>
        <v>0</v>
      </c>
      <c r="L37" s="109">
        <v>71070</v>
      </c>
    </row>
    <row r="38" spans="1:14" ht="18" customHeight="1">
      <c r="A38" s="84" t="s">
        <v>92</v>
      </c>
      <c r="B38" s="63"/>
      <c r="C38" s="63"/>
      <c r="D38" s="63"/>
      <c r="E38" s="94">
        <f t="shared" ref="E38:J38" si="5">SUM(E22:E37)</f>
        <v>28983</v>
      </c>
      <c r="F38" s="94">
        <f t="shared" si="5"/>
        <v>405213.55</v>
      </c>
      <c r="G38" s="94">
        <f t="shared" si="5"/>
        <v>0</v>
      </c>
      <c r="H38" s="94">
        <f t="shared" si="5"/>
        <v>0</v>
      </c>
      <c r="I38" s="94">
        <f t="shared" si="5"/>
        <v>0</v>
      </c>
      <c r="J38" s="94">
        <f t="shared" si="5"/>
        <v>434196.55</v>
      </c>
      <c r="K38" s="166">
        <f t="shared" si="1"/>
        <v>434196.55</v>
      </c>
      <c r="L38" s="109">
        <v>27800</v>
      </c>
      <c r="M38" s="46"/>
    </row>
    <row r="39" spans="1:14" ht="18" customHeight="1">
      <c r="A39" s="84" t="s">
        <v>103</v>
      </c>
      <c r="B39" s="63"/>
      <c r="C39" s="63"/>
      <c r="D39" s="63"/>
      <c r="E39" s="103">
        <f>SUM('DRRM Funds March 2014 '!E40)</f>
        <v>0</v>
      </c>
      <c r="F39" s="103">
        <f>SUM('DRRM Funds March 2014 '!F40)</f>
        <v>1083031.6400000001</v>
      </c>
      <c r="G39" s="103">
        <f>SUM('DRRM Funds March 2014 '!G40)</f>
        <v>0</v>
      </c>
      <c r="H39" s="103">
        <f>SUM('DRRM Funds March 2014 '!H40)</f>
        <v>0</v>
      </c>
      <c r="I39" s="103">
        <f>SUM('DRRM Funds March 2014 '!I40)</f>
        <v>0</v>
      </c>
      <c r="J39" s="103">
        <f>SUM('DRRM Funds March 2014 '!J40)</f>
        <v>1083031.6400000001</v>
      </c>
      <c r="K39" s="166">
        <f t="shared" si="1"/>
        <v>1083031.6400000001</v>
      </c>
      <c r="L39" s="109">
        <v>126865</v>
      </c>
      <c r="M39" s="109">
        <f>SUM(E39:H39)</f>
        <v>1083031.6400000001</v>
      </c>
    </row>
    <row r="40" spans="1:14" ht="18" customHeight="1">
      <c r="A40" s="84" t="s">
        <v>104</v>
      </c>
      <c r="B40" s="63"/>
      <c r="C40" s="63"/>
      <c r="D40" s="63"/>
      <c r="E40" s="103">
        <f>SUM(E38:E39)</f>
        <v>28983</v>
      </c>
      <c r="F40" s="103">
        <f>SUM(F38:F39)</f>
        <v>1488245.1900000002</v>
      </c>
      <c r="G40" s="103">
        <f t="shared" ref="G40:J40" si="6">SUM(G38:G39)</f>
        <v>0</v>
      </c>
      <c r="H40" s="103">
        <f t="shared" si="6"/>
        <v>0</v>
      </c>
      <c r="I40" s="103">
        <f t="shared" si="6"/>
        <v>0</v>
      </c>
      <c r="J40" s="103">
        <f t="shared" si="6"/>
        <v>1517228.1900000002</v>
      </c>
      <c r="K40" s="166">
        <f t="shared" si="1"/>
        <v>1517228.1900000002</v>
      </c>
      <c r="L40" s="174">
        <f>SUM(L28:L39)</f>
        <v>4921790</v>
      </c>
      <c r="M40" s="109">
        <v>10492358.970000001</v>
      </c>
    </row>
    <row r="41" spans="1:14" ht="18" customHeight="1">
      <c r="A41" s="70" t="s">
        <v>93</v>
      </c>
      <c r="B41" s="72"/>
      <c r="C41" s="72"/>
      <c r="D41" s="80"/>
      <c r="E41" s="120">
        <f>E20-E38</f>
        <v>11236738.849849999</v>
      </c>
      <c r="F41" s="120">
        <f t="shared" ref="F41:J41" si="7">F20-F38</f>
        <v>21693140.859649997</v>
      </c>
      <c r="G41" s="120">
        <f t="shared" si="7"/>
        <v>0</v>
      </c>
      <c r="H41" s="120">
        <f t="shared" si="7"/>
        <v>10140</v>
      </c>
      <c r="I41" s="120">
        <f t="shared" si="7"/>
        <v>0</v>
      </c>
      <c r="J41" s="120">
        <f t="shared" si="7"/>
        <v>32940019.709499996</v>
      </c>
      <c r="K41" s="166">
        <f>SUM(E41:I41)</f>
        <v>32940019.709499996</v>
      </c>
      <c r="L41" s="46"/>
      <c r="M41" s="109">
        <f>M40-L40</f>
        <v>5570568.9700000007</v>
      </c>
    </row>
    <row r="42" spans="1:14" ht="18" customHeight="1">
      <c r="A42" s="55"/>
      <c r="B42" s="55"/>
      <c r="C42" s="55"/>
      <c r="D42" s="55"/>
      <c r="E42" s="55"/>
      <c r="F42" s="55"/>
      <c r="G42" s="55"/>
      <c r="H42" s="55"/>
      <c r="I42" s="55"/>
      <c r="J42" s="115" t="s">
        <v>74</v>
      </c>
      <c r="K42" s="92">
        <f>SUM(E41:F41)</f>
        <v>32929879.709499996</v>
      </c>
      <c r="M42" s="109">
        <v>0</v>
      </c>
    </row>
    <row r="43" spans="1:14" ht="18" customHeight="1">
      <c r="A43" s="55"/>
      <c r="B43" s="55"/>
      <c r="C43" s="55"/>
      <c r="D43" s="55"/>
      <c r="E43" s="55"/>
      <c r="F43" s="55"/>
      <c r="G43" s="55"/>
      <c r="H43" s="92"/>
      <c r="I43" s="55"/>
      <c r="J43" s="115"/>
      <c r="K43" s="55"/>
      <c r="M43" s="109">
        <v>289860</v>
      </c>
    </row>
    <row r="44" spans="1:14" ht="18" customHeight="1">
      <c r="A44" s="55"/>
      <c r="B44" s="55"/>
      <c r="C44" s="55"/>
      <c r="D44" s="55"/>
      <c r="E44" s="55"/>
      <c r="F44" s="55"/>
      <c r="G44" s="55"/>
      <c r="H44" s="55"/>
      <c r="I44" s="55"/>
      <c r="J44" s="115"/>
      <c r="K44" s="92">
        <f>SUM(E40:F40)</f>
        <v>1517228.1900000002</v>
      </c>
      <c r="M44" s="109">
        <f>SUM(M41:M43)</f>
        <v>5860428.9700000007</v>
      </c>
      <c r="N44" s="173">
        <f>SUM(L40+M44)</f>
        <v>10782218.970000001</v>
      </c>
    </row>
    <row r="45" spans="1:14">
      <c r="A45" s="55" t="s">
        <v>83</v>
      </c>
      <c r="B45" s="55"/>
      <c r="C45" s="55"/>
      <c r="D45" s="55"/>
      <c r="E45" s="55"/>
      <c r="F45" s="55"/>
      <c r="G45" s="55"/>
      <c r="H45" s="55" t="s">
        <v>29</v>
      </c>
      <c r="I45" s="55"/>
      <c r="J45" s="115"/>
      <c r="K45" s="55"/>
      <c r="L45" s="109">
        <v>752760</v>
      </c>
    </row>
    <row r="46" spans="1:14">
      <c r="A46" s="55"/>
      <c r="B46" s="55"/>
      <c r="C46" s="55"/>
      <c r="D46" s="55"/>
      <c r="E46" s="55"/>
      <c r="F46" s="55"/>
      <c r="G46" s="55"/>
      <c r="H46" s="55"/>
      <c r="I46" s="55"/>
      <c r="J46" s="115"/>
      <c r="K46" s="55"/>
      <c r="L46" s="109">
        <v>902075</v>
      </c>
    </row>
    <row r="47" spans="1:14">
      <c r="A47" s="55"/>
      <c r="B47" s="55"/>
      <c r="C47" s="55"/>
      <c r="D47" s="55"/>
      <c r="E47" s="55"/>
      <c r="F47" s="55"/>
      <c r="G47" s="55"/>
      <c r="H47" s="172"/>
      <c r="I47" s="55"/>
      <c r="J47" s="115"/>
      <c r="K47" s="55"/>
      <c r="L47" s="109">
        <v>1032329.7</v>
      </c>
      <c r="M47" s="109">
        <v>1897753.11</v>
      </c>
    </row>
    <row r="48" spans="1:14">
      <c r="A48" s="55" t="s">
        <v>84</v>
      </c>
      <c r="B48" s="55"/>
      <c r="C48" s="55"/>
      <c r="D48" s="55"/>
      <c r="E48" s="55"/>
      <c r="F48" s="55"/>
      <c r="G48" s="55"/>
      <c r="H48" s="140" t="s">
        <v>194</v>
      </c>
      <c r="I48" s="55"/>
      <c r="J48" s="115"/>
      <c r="K48" s="55"/>
      <c r="L48" s="109">
        <v>504234.65</v>
      </c>
      <c r="M48" s="109">
        <v>8736531.7100000009</v>
      </c>
    </row>
    <row r="49" spans="1:13">
      <c r="A49" s="140" t="s">
        <v>86</v>
      </c>
      <c r="B49" s="55"/>
      <c r="C49" s="55"/>
      <c r="D49" s="55"/>
      <c r="E49" s="55"/>
      <c r="F49" s="55"/>
      <c r="G49" s="55"/>
      <c r="H49" s="140" t="s">
        <v>195</v>
      </c>
      <c r="I49" s="55"/>
      <c r="J49" s="115"/>
      <c r="K49" s="55"/>
      <c r="L49" s="109">
        <v>899145</v>
      </c>
      <c r="M49" s="109">
        <v>10140</v>
      </c>
    </row>
    <row r="50" spans="1:13">
      <c r="A50" s="55"/>
      <c r="B50" s="55"/>
      <c r="C50" s="55"/>
      <c r="D50" s="55"/>
      <c r="E50" s="121"/>
      <c r="F50" s="55"/>
      <c r="G50" s="55"/>
      <c r="H50" s="55"/>
      <c r="I50" s="55"/>
      <c r="J50" s="115"/>
      <c r="K50" s="55"/>
      <c r="L50" s="109">
        <v>1087927.3999999999</v>
      </c>
      <c r="M50" s="109">
        <f>SUM(M47:M49)</f>
        <v>10644424.82</v>
      </c>
    </row>
    <row r="51" spans="1:13">
      <c r="A51" s="55"/>
      <c r="B51" s="55"/>
      <c r="C51" s="55"/>
      <c r="D51" s="55"/>
      <c r="E51" s="115"/>
      <c r="F51" s="55"/>
      <c r="G51" s="55"/>
      <c r="H51" s="55"/>
      <c r="I51" s="115"/>
      <c r="J51" s="115"/>
      <c r="K51" s="55"/>
      <c r="L51" s="109">
        <v>2896515.5</v>
      </c>
    </row>
    <row r="52" spans="1:13">
      <c r="A52" s="55"/>
      <c r="B52" s="55"/>
      <c r="C52" s="55"/>
      <c r="D52" s="55"/>
      <c r="E52" s="55"/>
      <c r="F52" s="55"/>
      <c r="G52" s="55"/>
      <c r="H52" s="55"/>
      <c r="I52" s="115"/>
      <c r="J52" s="115"/>
      <c r="K52" s="55"/>
      <c r="L52" s="109">
        <v>120000</v>
      </c>
    </row>
    <row r="53" spans="1:13">
      <c r="I53" s="109"/>
      <c r="M53" s="46"/>
    </row>
    <row r="54" spans="1:13">
      <c r="F54" s="121">
        <f>F18-F55</f>
        <v>-4163.0051499991678</v>
      </c>
      <c r="I54" s="109"/>
      <c r="K54" s="55"/>
      <c r="L54" s="115">
        <v>630000</v>
      </c>
      <c r="M54" s="183">
        <v>10644424.82</v>
      </c>
    </row>
    <row r="55" spans="1:13">
      <c r="F55" s="115">
        <f>49980+103610+255752.8+265335+81917.75+32889+315132+287135.25+143400+640002.5</f>
        <v>2175154.2999999998</v>
      </c>
      <c r="I55" s="109"/>
      <c r="J55" s="109">
        <v>7850000</v>
      </c>
      <c r="L55" s="109">
        <v>1000000</v>
      </c>
      <c r="M55" s="183">
        <v>13157941.960000001</v>
      </c>
    </row>
    <row r="56" spans="1:13">
      <c r="I56" s="109"/>
      <c r="J56" s="109">
        <v>800000</v>
      </c>
      <c r="L56" s="109">
        <v>1300000</v>
      </c>
      <c r="M56" s="184">
        <v>0</v>
      </c>
    </row>
    <row r="57" spans="1:13">
      <c r="I57" s="109"/>
      <c r="J57" s="109">
        <v>1200000</v>
      </c>
      <c r="L57" s="109">
        <v>2000000</v>
      </c>
      <c r="M57" s="183">
        <f>SUM(M54:M56)</f>
        <v>23802366.780000001</v>
      </c>
    </row>
    <row r="58" spans="1:13">
      <c r="I58" s="109"/>
      <c r="J58" s="109">
        <v>3500000</v>
      </c>
      <c r="L58" s="109">
        <v>150000</v>
      </c>
      <c r="M58" s="183">
        <v>24092226.780000001</v>
      </c>
    </row>
    <row r="59" spans="1:13">
      <c r="I59" s="109">
        <v>100000</v>
      </c>
      <c r="J59" s="116">
        <f>SUM(J55:J58)</f>
        <v>13350000</v>
      </c>
      <c r="L59" s="109">
        <v>4590281.96</v>
      </c>
      <c r="M59" s="183">
        <f>M58-M57</f>
        <v>289860</v>
      </c>
    </row>
    <row r="60" spans="1:13">
      <c r="I60" s="109">
        <v>4589687.1100000003</v>
      </c>
      <c r="J60" s="109">
        <v>16829861.079999998</v>
      </c>
      <c r="L60" s="109">
        <f>SUM(L54:L59)</f>
        <v>9670281.9600000009</v>
      </c>
      <c r="M60" s="46"/>
    </row>
    <row r="61" spans="1:13">
      <c r="I61" s="116">
        <f>SUM(I55:I60)</f>
        <v>4689687.1100000003</v>
      </c>
      <c r="J61" s="109">
        <f>J59-J60</f>
        <v>-3479861.0799999982</v>
      </c>
      <c r="M61" s="109">
        <v>24416573.030000001</v>
      </c>
    </row>
    <row r="62" spans="1:13">
      <c r="I62" s="109">
        <v>7212797.6100000003</v>
      </c>
      <c r="M62" s="109">
        <v>24708913.030000001</v>
      </c>
    </row>
    <row r="63" spans="1:13">
      <c r="I63" s="109">
        <f>I61-I62</f>
        <v>-2523110.5</v>
      </c>
      <c r="M63" s="109">
        <f>M61-M62</f>
        <v>-292340</v>
      </c>
    </row>
    <row r="64" spans="1:13">
      <c r="I64" s="109"/>
      <c r="M64" s="109">
        <v>289860</v>
      </c>
    </row>
    <row r="65" spans="1:13">
      <c r="I65" s="109"/>
      <c r="J65" s="109">
        <v>25346381.800000001</v>
      </c>
      <c r="M65" s="173">
        <f>SUM(M63:M64)</f>
        <v>-2480</v>
      </c>
    </row>
    <row r="66" spans="1:13">
      <c r="I66" s="109"/>
      <c r="J66" s="109">
        <v>24042658.690000001</v>
      </c>
      <c r="M66" s="46"/>
    </row>
    <row r="67" spans="1:13">
      <c r="I67" s="109"/>
      <c r="J67" s="109">
        <f>J65-J66</f>
        <v>1303723.1099999994</v>
      </c>
      <c r="L67" s="109">
        <v>400000</v>
      </c>
      <c r="M67" s="46"/>
    </row>
    <row r="68" spans="1:13">
      <c r="I68" s="109"/>
      <c r="L68" s="109">
        <v>1000000</v>
      </c>
      <c r="M68" s="109">
        <v>25279.7</v>
      </c>
    </row>
    <row r="69" spans="1:13">
      <c r="I69" s="109"/>
      <c r="M69" s="109">
        <v>27759.7</v>
      </c>
    </row>
    <row r="70" spans="1:13">
      <c r="H70" s="109"/>
      <c r="I70" s="109"/>
      <c r="M70" s="173">
        <f>M68-M69</f>
        <v>-2480</v>
      </c>
    </row>
    <row r="71" spans="1:13">
      <c r="H71" s="109">
        <v>4455551.57</v>
      </c>
      <c r="I71" s="109"/>
      <c r="J71" s="109">
        <v>17496381.800000001</v>
      </c>
      <c r="M71" s="46"/>
    </row>
    <row r="72" spans="1:13">
      <c r="H72" s="109">
        <v>5760963.6399999997</v>
      </c>
      <c r="I72" s="109"/>
      <c r="J72" s="109">
        <v>7850000</v>
      </c>
      <c r="M72" s="46"/>
    </row>
    <row r="73" spans="1:13">
      <c r="H73" s="109">
        <f>SUM(H71:H72)</f>
        <v>10216515.210000001</v>
      </c>
      <c r="I73" s="109"/>
      <c r="J73" s="109">
        <f>SUM(J71:J72)</f>
        <v>25346381.800000001</v>
      </c>
      <c r="M73" s="46"/>
    </row>
    <row r="74" spans="1:13" s="109" customFormat="1">
      <c r="A74" s="46"/>
      <c r="B74" s="46"/>
      <c r="C74" s="46"/>
      <c r="D74" s="46"/>
      <c r="E74" s="46"/>
      <c r="F74" s="46"/>
      <c r="G74" s="46"/>
    </row>
    <row r="75" spans="1:13" s="109" customFormat="1">
      <c r="A75" s="46"/>
      <c r="B75" s="46"/>
      <c r="C75" s="46"/>
      <c r="D75" s="46"/>
      <c r="E75" s="46"/>
      <c r="F75" s="46"/>
      <c r="G75" s="46"/>
    </row>
    <row r="76" spans="1:13" s="109" customFormat="1">
      <c r="A76" s="46"/>
      <c r="B76" s="46"/>
      <c r="C76" s="46"/>
      <c r="D76" s="46"/>
      <c r="E76" s="46"/>
      <c r="F76" s="46"/>
      <c r="G76" s="46"/>
    </row>
    <row r="77" spans="1:13" s="109" customFormat="1">
      <c r="A77" s="46"/>
      <c r="B77" s="46"/>
      <c r="C77" s="46"/>
      <c r="D77" s="46"/>
      <c r="E77" s="46"/>
      <c r="F77" s="46"/>
      <c r="G77" s="46"/>
    </row>
    <row r="78" spans="1:13" s="109" customFormat="1">
      <c r="A78" s="46"/>
      <c r="B78" s="46"/>
      <c r="C78" s="46"/>
      <c r="D78" s="46"/>
      <c r="E78" s="46"/>
      <c r="F78" s="46"/>
      <c r="G78" s="46"/>
    </row>
    <row r="79" spans="1:13" s="109" customFormat="1">
      <c r="A79" s="46"/>
      <c r="B79" s="46"/>
      <c r="C79" s="46"/>
      <c r="D79" s="46"/>
      <c r="E79" s="46"/>
      <c r="F79" s="46"/>
      <c r="G79" s="46"/>
    </row>
    <row r="80" spans="1:13" s="109" customFormat="1">
      <c r="A80" s="46"/>
      <c r="B80" s="46"/>
      <c r="C80" s="46"/>
      <c r="D80" s="46"/>
      <c r="E80" s="46"/>
      <c r="F80" s="46"/>
      <c r="G80" s="46"/>
      <c r="H80" s="46"/>
    </row>
    <row r="81" spans="1:11" s="109" customFormat="1">
      <c r="A81" s="46"/>
      <c r="B81" s="46"/>
      <c r="C81" s="46"/>
      <c r="D81" s="46"/>
      <c r="E81" s="46"/>
      <c r="F81" s="46"/>
      <c r="G81" s="46"/>
      <c r="H81" s="46"/>
    </row>
    <row r="82" spans="1:11" s="109" customFormat="1">
      <c r="A82" s="46"/>
      <c r="B82" s="46"/>
      <c r="C82" s="46"/>
      <c r="D82" s="46"/>
      <c r="E82" s="46"/>
      <c r="F82" s="46"/>
      <c r="G82" s="46"/>
      <c r="H82" s="46"/>
    </row>
    <row r="83" spans="1:11" s="109" customFormat="1">
      <c r="A83" s="46"/>
      <c r="B83" s="46"/>
      <c r="C83" s="46"/>
      <c r="D83" s="46"/>
      <c r="E83" s="46"/>
      <c r="F83" s="46"/>
      <c r="G83" s="46"/>
      <c r="H83" s="46"/>
    </row>
    <row r="84" spans="1:11" s="109" customFormat="1">
      <c r="A84" s="46"/>
      <c r="B84" s="46"/>
      <c r="C84" s="46"/>
      <c r="D84" s="46"/>
      <c r="E84" s="46"/>
      <c r="F84" s="46"/>
      <c r="G84" s="46"/>
      <c r="H84" s="46"/>
      <c r="K84" s="46"/>
    </row>
    <row r="85" spans="1:11" s="109" customFormat="1">
      <c r="A85" s="46"/>
      <c r="B85" s="46"/>
      <c r="C85" s="46"/>
      <c r="D85" s="46"/>
      <c r="E85" s="46"/>
      <c r="F85" s="46"/>
      <c r="G85" s="46"/>
      <c r="H85" s="46"/>
      <c r="K85" s="46"/>
    </row>
    <row r="86" spans="1:11" s="109" customFormat="1">
      <c r="A86" s="46"/>
      <c r="B86" s="46"/>
      <c r="C86" s="46"/>
      <c r="D86" s="46"/>
      <c r="E86" s="46"/>
      <c r="F86" s="46"/>
      <c r="G86" s="46"/>
      <c r="H86" s="46"/>
      <c r="K86" s="46"/>
    </row>
    <row r="87" spans="1:11" s="109" customFormat="1">
      <c r="A87" s="46"/>
      <c r="B87" s="46"/>
      <c r="C87" s="46"/>
      <c r="D87" s="46"/>
      <c r="E87" s="46"/>
      <c r="F87" s="46"/>
      <c r="G87" s="46"/>
      <c r="H87" s="46"/>
      <c r="K87" s="46"/>
    </row>
    <row r="88" spans="1:11" s="109" customFormat="1">
      <c r="A88" s="46"/>
      <c r="B88" s="46"/>
      <c r="C88" s="46"/>
      <c r="D88" s="46"/>
      <c r="E88" s="46"/>
      <c r="F88" s="46"/>
      <c r="G88" s="46"/>
      <c r="H88" s="46"/>
      <c r="K88" s="46"/>
    </row>
    <row r="89" spans="1:11" s="109" customFormat="1">
      <c r="A89" s="46"/>
      <c r="B89" s="46"/>
      <c r="C89" s="46"/>
      <c r="D89" s="46"/>
      <c r="E89" s="46"/>
      <c r="F89" s="46"/>
      <c r="G89" s="46"/>
      <c r="H89" s="46"/>
      <c r="K89" s="46"/>
    </row>
    <row r="90" spans="1:11" s="109" customFormat="1">
      <c r="A90" s="46"/>
      <c r="B90" s="46"/>
      <c r="C90" s="46"/>
      <c r="D90" s="46"/>
      <c r="E90" s="46"/>
      <c r="F90" s="46"/>
      <c r="G90" s="46"/>
      <c r="H90" s="46"/>
      <c r="K90" s="46"/>
    </row>
    <row r="91" spans="1:11" s="109" customFormat="1">
      <c r="A91" s="46"/>
      <c r="B91" s="46"/>
      <c r="C91" s="46"/>
      <c r="D91" s="46"/>
      <c r="E91" s="46"/>
      <c r="F91" s="46"/>
      <c r="G91" s="46"/>
      <c r="H91" s="46"/>
      <c r="K91" s="46"/>
    </row>
    <row r="92" spans="1:11" s="109" customFormat="1">
      <c r="A92" s="46"/>
      <c r="B92" s="46"/>
      <c r="C92" s="46"/>
      <c r="D92" s="46"/>
      <c r="E92" s="46"/>
      <c r="F92" s="46"/>
      <c r="G92" s="46"/>
      <c r="H92" s="46"/>
      <c r="K92" s="46"/>
    </row>
    <row r="93" spans="1:11" s="109" customFormat="1">
      <c r="A93" s="46"/>
      <c r="B93" s="46"/>
      <c r="C93" s="46"/>
      <c r="D93" s="46"/>
      <c r="E93" s="46"/>
      <c r="F93" s="46"/>
      <c r="G93" s="46"/>
      <c r="H93" s="46"/>
      <c r="K93" s="46"/>
    </row>
    <row r="94" spans="1:11" s="109" customFormat="1">
      <c r="A94" s="46"/>
      <c r="B94" s="46"/>
      <c r="C94" s="46"/>
      <c r="D94" s="46"/>
      <c r="E94" s="46"/>
      <c r="F94" s="46"/>
      <c r="G94" s="46"/>
      <c r="H94" s="46"/>
      <c r="K94" s="46"/>
    </row>
    <row r="95" spans="1:11" s="109" customFormat="1">
      <c r="A95" s="46"/>
      <c r="B95" s="46"/>
      <c r="C95" s="46"/>
      <c r="D95" s="46"/>
      <c r="E95" s="46"/>
      <c r="F95" s="46"/>
      <c r="G95" s="46"/>
      <c r="H95" s="46"/>
      <c r="K95" s="46"/>
    </row>
    <row r="96" spans="1:11" s="109" customFormat="1">
      <c r="A96" s="46"/>
      <c r="B96" s="46"/>
      <c r="C96" s="46"/>
      <c r="D96" s="46"/>
      <c r="E96" s="46"/>
      <c r="F96" s="46"/>
      <c r="G96" s="46"/>
      <c r="H96" s="46"/>
      <c r="K96" s="46"/>
    </row>
    <row r="97" spans="1:11" s="109" customFormat="1">
      <c r="A97" s="46"/>
      <c r="B97" s="46"/>
      <c r="C97" s="46"/>
      <c r="D97" s="46"/>
      <c r="E97" s="46"/>
      <c r="F97" s="46"/>
      <c r="G97" s="46"/>
      <c r="H97" s="46"/>
      <c r="K97" s="46"/>
    </row>
    <row r="98" spans="1:11" s="109" customFormat="1">
      <c r="A98" s="46"/>
      <c r="B98" s="46"/>
      <c r="C98" s="46"/>
      <c r="D98" s="46"/>
      <c r="E98" s="46"/>
      <c r="F98" s="46"/>
      <c r="G98" s="46"/>
      <c r="H98" s="46"/>
      <c r="K98" s="46"/>
    </row>
    <row r="99" spans="1:11" s="109" customFormat="1">
      <c r="A99" s="46"/>
      <c r="B99" s="46"/>
      <c r="C99" s="46"/>
      <c r="D99" s="46"/>
      <c r="E99" s="46"/>
      <c r="F99" s="46"/>
      <c r="G99" s="46"/>
      <c r="H99" s="46"/>
      <c r="K99" s="46"/>
    </row>
    <row r="100" spans="1:11" s="109" customFormat="1">
      <c r="A100" s="46"/>
      <c r="B100" s="46"/>
      <c r="C100" s="46"/>
      <c r="D100" s="46"/>
      <c r="E100" s="46"/>
      <c r="F100" s="46"/>
      <c r="G100" s="46"/>
      <c r="H100" s="46"/>
      <c r="K100" s="46"/>
    </row>
    <row r="101" spans="1:11" s="109" customFormat="1">
      <c r="A101" s="46"/>
      <c r="B101" s="46"/>
      <c r="C101" s="46"/>
      <c r="D101" s="46"/>
      <c r="E101" s="46"/>
      <c r="F101" s="46"/>
      <c r="G101" s="46"/>
      <c r="H101" s="46"/>
      <c r="K101" s="46"/>
    </row>
    <row r="102" spans="1:11" s="109" customFormat="1">
      <c r="A102" s="46"/>
      <c r="B102" s="46"/>
      <c r="C102" s="46"/>
      <c r="D102" s="46"/>
      <c r="E102" s="46"/>
      <c r="F102" s="46"/>
      <c r="G102" s="46"/>
      <c r="H102" s="46"/>
      <c r="K102" s="46"/>
    </row>
    <row r="103" spans="1:11" s="109" customFormat="1">
      <c r="A103" s="46"/>
      <c r="B103" s="46"/>
      <c r="C103" s="46"/>
      <c r="D103" s="46"/>
      <c r="E103" s="46"/>
      <c r="F103" s="46"/>
      <c r="G103" s="46"/>
      <c r="H103" s="46"/>
      <c r="K103" s="46"/>
    </row>
    <row r="104" spans="1:11" s="109" customFormat="1">
      <c r="A104" s="46"/>
      <c r="B104" s="46"/>
      <c r="C104" s="46"/>
      <c r="D104" s="46"/>
      <c r="E104" s="46"/>
      <c r="F104" s="46"/>
      <c r="G104" s="46"/>
      <c r="H104" s="46"/>
      <c r="K104" s="46"/>
    </row>
    <row r="105" spans="1:11" s="109" customFormat="1">
      <c r="A105" s="46"/>
      <c r="B105" s="46"/>
      <c r="C105" s="46"/>
      <c r="D105" s="46"/>
      <c r="E105" s="46"/>
      <c r="F105" s="46"/>
      <c r="G105" s="46"/>
      <c r="H105" s="46"/>
      <c r="K105" s="46"/>
    </row>
    <row r="106" spans="1:11" s="109" customFormat="1">
      <c r="A106" s="46"/>
      <c r="B106" s="46"/>
      <c r="C106" s="46"/>
      <c r="D106" s="46"/>
      <c r="E106" s="46"/>
      <c r="F106" s="46"/>
      <c r="G106" s="46"/>
      <c r="H106" s="46"/>
      <c r="K106" s="46"/>
    </row>
    <row r="107" spans="1:11" s="109" customFormat="1">
      <c r="A107" s="46"/>
      <c r="B107" s="46"/>
      <c r="C107" s="46"/>
      <c r="D107" s="46"/>
      <c r="E107" s="46"/>
      <c r="F107" s="46"/>
      <c r="G107" s="46"/>
      <c r="H107" s="46"/>
      <c r="K107" s="46"/>
    </row>
    <row r="108" spans="1:11" s="109" customFormat="1">
      <c r="A108" s="46"/>
      <c r="B108" s="46"/>
      <c r="C108" s="46"/>
      <c r="D108" s="46"/>
      <c r="E108" s="46"/>
      <c r="F108" s="46"/>
      <c r="G108" s="46"/>
      <c r="H108" s="46"/>
      <c r="K108" s="46"/>
    </row>
    <row r="109" spans="1:11" s="109" customFormat="1">
      <c r="A109" s="46"/>
      <c r="B109" s="46"/>
      <c r="C109" s="46"/>
      <c r="D109" s="46"/>
      <c r="E109" s="46"/>
      <c r="F109" s="46"/>
      <c r="G109" s="46"/>
      <c r="H109" s="46"/>
      <c r="K109" s="46"/>
    </row>
    <row r="110" spans="1:11" s="109" customFormat="1">
      <c r="A110" s="46"/>
      <c r="B110" s="46"/>
      <c r="C110" s="46"/>
      <c r="D110" s="46"/>
      <c r="E110" s="46"/>
      <c r="F110" s="46"/>
      <c r="G110" s="46"/>
      <c r="H110" s="46"/>
      <c r="K110" s="46"/>
    </row>
    <row r="111" spans="1:11" s="109" customFormat="1">
      <c r="A111" s="46"/>
      <c r="B111" s="46"/>
      <c r="C111" s="46"/>
      <c r="D111" s="46"/>
      <c r="E111" s="46"/>
      <c r="F111" s="46"/>
      <c r="G111" s="46"/>
      <c r="H111" s="46"/>
      <c r="K111" s="46"/>
    </row>
    <row r="112" spans="1:11" s="109" customFormat="1">
      <c r="A112" s="46"/>
      <c r="B112" s="46"/>
      <c r="C112" s="46"/>
      <c r="D112" s="46"/>
      <c r="E112" s="46"/>
      <c r="F112" s="46"/>
      <c r="G112" s="46"/>
      <c r="H112" s="46"/>
      <c r="K112" s="46"/>
    </row>
    <row r="113" spans="1:11" s="109" customFormat="1">
      <c r="A113" s="46"/>
      <c r="B113" s="46"/>
      <c r="C113" s="46"/>
      <c r="D113" s="46"/>
      <c r="E113" s="46"/>
      <c r="F113" s="46"/>
      <c r="G113" s="46"/>
      <c r="H113" s="46"/>
      <c r="K113" s="46"/>
    </row>
    <row r="114" spans="1:11" s="109" customFormat="1">
      <c r="A114" s="46"/>
      <c r="B114" s="46"/>
      <c r="C114" s="46"/>
      <c r="D114" s="46"/>
      <c r="E114" s="46"/>
      <c r="F114" s="46"/>
      <c r="G114" s="46"/>
      <c r="H114" s="46"/>
      <c r="K114" s="46"/>
    </row>
    <row r="115" spans="1:11" s="109" customFormat="1">
      <c r="A115" s="46"/>
      <c r="B115" s="46"/>
      <c r="C115" s="46"/>
      <c r="D115" s="46"/>
      <c r="E115" s="46"/>
      <c r="F115" s="46"/>
      <c r="G115" s="46"/>
      <c r="H115" s="46"/>
      <c r="K115" s="46"/>
    </row>
    <row r="116" spans="1:11" s="109" customFormat="1">
      <c r="A116" s="46"/>
      <c r="B116" s="46"/>
      <c r="C116" s="46"/>
      <c r="D116" s="46"/>
      <c r="E116" s="46"/>
      <c r="F116" s="46"/>
      <c r="G116" s="46"/>
      <c r="H116" s="46"/>
      <c r="K116" s="46"/>
    </row>
    <row r="117" spans="1:11" s="109" customFormat="1">
      <c r="A117" s="46"/>
      <c r="B117" s="46"/>
      <c r="C117" s="46"/>
      <c r="D117" s="46"/>
      <c r="E117" s="46"/>
      <c r="F117" s="46"/>
      <c r="G117" s="46"/>
      <c r="H117" s="46"/>
      <c r="K117" s="46"/>
    </row>
    <row r="118" spans="1:11" s="109" customFormat="1">
      <c r="A118" s="46"/>
      <c r="B118" s="46"/>
      <c r="C118" s="46"/>
      <c r="D118" s="46"/>
      <c r="E118" s="46"/>
      <c r="F118" s="46"/>
      <c r="G118" s="46"/>
      <c r="H118" s="46"/>
      <c r="K118" s="46"/>
    </row>
    <row r="119" spans="1:11" s="109" customFormat="1">
      <c r="A119" s="46"/>
      <c r="B119" s="46"/>
      <c r="C119" s="46"/>
      <c r="D119" s="46"/>
      <c r="E119" s="46"/>
      <c r="F119" s="46"/>
      <c r="G119" s="46"/>
      <c r="H119" s="46"/>
      <c r="K119" s="46"/>
    </row>
    <row r="120" spans="1:11" s="109" customFormat="1">
      <c r="A120" s="46"/>
      <c r="B120" s="46"/>
      <c r="C120" s="46"/>
      <c r="D120" s="46"/>
      <c r="E120" s="46"/>
      <c r="F120" s="46"/>
      <c r="G120" s="46"/>
      <c r="H120" s="46"/>
      <c r="K120" s="46"/>
    </row>
    <row r="121" spans="1:11" s="109" customFormat="1">
      <c r="A121" s="46"/>
      <c r="B121" s="46"/>
      <c r="C121" s="46"/>
      <c r="D121" s="46"/>
      <c r="E121" s="46"/>
      <c r="F121" s="46"/>
      <c r="G121" s="46"/>
      <c r="H121" s="46"/>
      <c r="K121" s="46"/>
    </row>
    <row r="122" spans="1:11" s="109" customFormat="1">
      <c r="A122" s="46"/>
      <c r="B122" s="46"/>
      <c r="C122" s="46"/>
      <c r="D122" s="46"/>
      <c r="E122" s="46"/>
      <c r="F122" s="46"/>
      <c r="G122" s="46"/>
      <c r="H122" s="46"/>
      <c r="K122" s="46"/>
    </row>
    <row r="123" spans="1:11" s="109" customFormat="1">
      <c r="A123" s="46"/>
      <c r="B123" s="46"/>
      <c r="C123" s="46"/>
      <c r="D123" s="46"/>
      <c r="E123" s="46"/>
      <c r="F123" s="46"/>
      <c r="G123" s="46"/>
      <c r="H123" s="46"/>
      <c r="K123" s="46"/>
    </row>
    <row r="124" spans="1:11" s="109" customFormat="1">
      <c r="A124" s="46"/>
      <c r="B124" s="46"/>
      <c r="C124" s="46"/>
      <c r="D124" s="46"/>
      <c r="E124" s="46"/>
      <c r="F124" s="46"/>
      <c r="G124" s="46"/>
      <c r="H124" s="46"/>
      <c r="K124" s="46"/>
    </row>
    <row r="125" spans="1:11" s="109" customFormat="1">
      <c r="A125" s="46"/>
      <c r="B125" s="46"/>
      <c r="C125" s="46"/>
      <c r="D125" s="46"/>
      <c r="E125" s="46"/>
      <c r="F125" s="46"/>
      <c r="G125" s="46"/>
      <c r="H125" s="46"/>
      <c r="K125" s="46"/>
    </row>
    <row r="126" spans="1:11" s="109" customFormat="1">
      <c r="A126" s="46"/>
      <c r="B126" s="46"/>
      <c r="C126" s="46"/>
      <c r="D126" s="46"/>
      <c r="E126" s="46"/>
      <c r="F126" s="46"/>
      <c r="G126" s="46"/>
      <c r="H126" s="46"/>
      <c r="K126" s="46"/>
    </row>
    <row r="127" spans="1:11" s="109" customFormat="1">
      <c r="A127" s="46"/>
      <c r="B127" s="46"/>
      <c r="C127" s="46"/>
      <c r="D127" s="46"/>
      <c r="E127" s="46"/>
      <c r="F127" s="46"/>
      <c r="G127" s="46"/>
      <c r="H127" s="46"/>
      <c r="K127" s="46"/>
    </row>
    <row r="128" spans="1:11" s="109" customFormat="1">
      <c r="A128" s="46"/>
      <c r="B128" s="46"/>
      <c r="C128" s="46"/>
      <c r="D128" s="46"/>
      <c r="E128" s="46"/>
      <c r="F128" s="46"/>
      <c r="G128" s="46"/>
      <c r="H128" s="46"/>
      <c r="K128" s="46"/>
    </row>
    <row r="129" spans="1:11" s="109" customFormat="1">
      <c r="A129" s="46"/>
      <c r="B129" s="46"/>
      <c r="C129" s="46"/>
      <c r="D129" s="46"/>
      <c r="E129" s="46"/>
      <c r="F129" s="46"/>
      <c r="G129" s="46"/>
      <c r="H129" s="46"/>
      <c r="K129" s="46"/>
    </row>
    <row r="130" spans="1:11" s="109" customFormat="1">
      <c r="A130" s="46"/>
      <c r="B130" s="46"/>
      <c r="C130" s="46"/>
      <c r="D130" s="46"/>
      <c r="E130" s="46"/>
      <c r="F130" s="46"/>
      <c r="G130" s="46"/>
      <c r="H130" s="46"/>
      <c r="K130" s="46"/>
    </row>
    <row r="131" spans="1:11" s="109" customFormat="1">
      <c r="A131" s="46"/>
      <c r="B131" s="46"/>
      <c r="C131" s="46"/>
      <c r="D131" s="46"/>
      <c r="E131" s="46"/>
      <c r="F131" s="46"/>
      <c r="G131" s="46"/>
      <c r="H131" s="46"/>
      <c r="K131" s="46"/>
    </row>
    <row r="132" spans="1:11" s="109" customFormat="1">
      <c r="A132" s="46"/>
      <c r="B132" s="46"/>
      <c r="C132" s="46"/>
      <c r="D132" s="46"/>
      <c r="E132" s="46"/>
      <c r="F132" s="46"/>
      <c r="G132" s="46"/>
      <c r="H132" s="46"/>
      <c r="K132" s="46"/>
    </row>
    <row r="133" spans="1:11" s="109" customFormat="1">
      <c r="A133" s="46"/>
      <c r="B133" s="46"/>
      <c r="C133" s="46"/>
      <c r="D133" s="46"/>
      <c r="E133" s="46"/>
      <c r="F133" s="46"/>
      <c r="G133" s="46"/>
      <c r="H133" s="46"/>
      <c r="K133" s="46"/>
    </row>
    <row r="134" spans="1:11" s="109" customFormat="1">
      <c r="A134" s="46"/>
      <c r="B134" s="46"/>
      <c r="C134" s="46"/>
      <c r="D134" s="46"/>
      <c r="E134" s="46"/>
      <c r="F134" s="46"/>
      <c r="G134" s="46"/>
      <c r="H134" s="46"/>
      <c r="K134" s="46"/>
    </row>
    <row r="135" spans="1:11" s="109" customFormat="1">
      <c r="A135" s="46"/>
      <c r="B135" s="46"/>
      <c r="C135" s="46"/>
      <c r="D135" s="46"/>
      <c r="E135" s="46"/>
      <c r="F135" s="46"/>
      <c r="G135" s="46"/>
      <c r="H135" s="46"/>
      <c r="K135" s="46"/>
    </row>
    <row r="136" spans="1:11" s="109" customFormat="1">
      <c r="A136" s="46"/>
      <c r="B136" s="46"/>
      <c r="C136" s="46"/>
      <c r="D136" s="46"/>
      <c r="E136" s="46"/>
      <c r="F136" s="46"/>
      <c r="G136" s="46"/>
      <c r="H136" s="46"/>
      <c r="K136" s="46"/>
    </row>
    <row r="137" spans="1:11" s="109" customFormat="1">
      <c r="A137" s="46"/>
      <c r="B137" s="46"/>
      <c r="C137" s="46"/>
      <c r="D137" s="46"/>
      <c r="E137" s="46"/>
      <c r="F137" s="46"/>
      <c r="G137" s="46"/>
      <c r="H137" s="46"/>
      <c r="K137" s="46"/>
    </row>
    <row r="138" spans="1:11" s="109" customFormat="1">
      <c r="A138" s="46"/>
      <c r="B138" s="46"/>
      <c r="C138" s="46"/>
      <c r="D138" s="46"/>
      <c r="E138" s="46"/>
      <c r="F138" s="46"/>
      <c r="G138" s="46"/>
      <c r="H138" s="46"/>
      <c r="K138" s="46"/>
    </row>
    <row r="139" spans="1:11" s="109" customFormat="1">
      <c r="A139" s="46"/>
      <c r="B139" s="46"/>
      <c r="C139" s="46"/>
      <c r="D139" s="46"/>
      <c r="E139" s="46"/>
      <c r="F139" s="46"/>
      <c r="G139" s="46"/>
      <c r="H139" s="46"/>
      <c r="K139" s="46"/>
    </row>
    <row r="140" spans="1:11" s="109" customFormat="1">
      <c r="A140" s="46"/>
      <c r="B140" s="46"/>
      <c r="C140" s="46"/>
      <c r="D140" s="46"/>
      <c r="E140" s="46"/>
      <c r="F140" s="46"/>
      <c r="G140" s="46"/>
      <c r="H140" s="46"/>
      <c r="K140" s="46"/>
    </row>
    <row r="141" spans="1:11" s="109" customFormat="1">
      <c r="A141" s="46"/>
      <c r="B141" s="46"/>
      <c r="C141" s="46"/>
      <c r="D141" s="46"/>
      <c r="E141" s="46"/>
      <c r="F141" s="46"/>
      <c r="G141" s="46"/>
      <c r="H141" s="46"/>
      <c r="K141" s="46"/>
    </row>
    <row r="142" spans="1:11" s="109" customFormat="1">
      <c r="A142" s="46"/>
      <c r="B142" s="46"/>
      <c r="C142" s="46"/>
      <c r="D142" s="46"/>
      <c r="E142" s="46"/>
      <c r="F142" s="46"/>
      <c r="G142" s="46"/>
      <c r="H142" s="46"/>
      <c r="K142" s="46"/>
    </row>
    <row r="143" spans="1:11" s="109" customFormat="1">
      <c r="A143" s="46"/>
      <c r="B143" s="46"/>
      <c r="C143" s="46"/>
      <c r="D143" s="46"/>
      <c r="E143" s="46"/>
      <c r="F143" s="46"/>
      <c r="G143" s="46"/>
      <c r="H143" s="46"/>
      <c r="K143" s="46"/>
    </row>
    <row r="144" spans="1:11" s="109" customFormat="1">
      <c r="A144" s="46"/>
      <c r="B144" s="46"/>
      <c r="C144" s="46"/>
      <c r="D144" s="46"/>
      <c r="E144" s="46"/>
      <c r="F144" s="46"/>
      <c r="G144" s="46"/>
      <c r="H144" s="46"/>
      <c r="K144" s="46"/>
    </row>
    <row r="145" spans="1:11" s="109" customFormat="1">
      <c r="A145" s="46"/>
      <c r="B145" s="46"/>
      <c r="C145" s="46"/>
      <c r="D145" s="46"/>
      <c r="E145" s="46"/>
      <c r="F145" s="46"/>
      <c r="G145" s="46"/>
      <c r="H145" s="46"/>
      <c r="K145" s="46"/>
    </row>
    <row r="146" spans="1:11" s="109" customFormat="1">
      <c r="A146" s="46"/>
      <c r="B146" s="46"/>
      <c r="C146" s="46"/>
      <c r="D146" s="46"/>
      <c r="E146" s="46"/>
      <c r="F146" s="46"/>
      <c r="G146" s="46"/>
      <c r="H146" s="46"/>
      <c r="K146" s="46"/>
    </row>
    <row r="147" spans="1:11" s="109" customFormat="1">
      <c r="A147" s="46"/>
      <c r="B147" s="46"/>
      <c r="C147" s="46"/>
      <c r="D147" s="46"/>
      <c r="E147" s="46"/>
      <c r="F147" s="46"/>
      <c r="G147" s="46"/>
      <c r="H147" s="46"/>
      <c r="K147" s="46"/>
    </row>
    <row r="148" spans="1:11" s="109" customFormat="1">
      <c r="A148" s="46"/>
      <c r="B148" s="46"/>
      <c r="C148" s="46"/>
      <c r="D148" s="46"/>
      <c r="E148" s="46"/>
      <c r="F148" s="46"/>
      <c r="G148" s="46"/>
      <c r="H148" s="46"/>
      <c r="K148" s="46"/>
    </row>
    <row r="149" spans="1:11" s="109" customFormat="1">
      <c r="A149" s="46"/>
      <c r="B149" s="46"/>
      <c r="C149" s="46"/>
      <c r="D149" s="46"/>
      <c r="E149" s="46"/>
      <c r="F149" s="46"/>
      <c r="G149" s="46"/>
      <c r="H149" s="46"/>
      <c r="K149" s="46"/>
    </row>
    <row r="150" spans="1:11" s="109" customFormat="1">
      <c r="A150" s="46"/>
      <c r="B150" s="46"/>
      <c r="C150" s="46"/>
      <c r="D150" s="46"/>
      <c r="E150" s="46"/>
      <c r="F150" s="46"/>
      <c r="G150" s="46"/>
      <c r="H150" s="46"/>
      <c r="K150" s="46"/>
    </row>
    <row r="151" spans="1:11" s="109" customFormat="1">
      <c r="A151" s="46"/>
      <c r="B151" s="46"/>
      <c r="C151" s="46"/>
      <c r="D151" s="46"/>
      <c r="E151" s="46"/>
      <c r="F151" s="46"/>
      <c r="G151" s="46"/>
      <c r="H151" s="46"/>
      <c r="K151" s="46"/>
    </row>
    <row r="152" spans="1:11" s="109" customFormat="1">
      <c r="A152" s="46"/>
      <c r="B152" s="46"/>
      <c r="C152" s="46"/>
      <c r="D152" s="46"/>
      <c r="E152" s="46"/>
      <c r="F152" s="46"/>
      <c r="G152" s="46"/>
      <c r="H152" s="46"/>
      <c r="K152" s="46"/>
    </row>
    <row r="153" spans="1:11" s="109" customFormat="1">
      <c r="A153" s="46"/>
      <c r="B153" s="46"/>
      <c r="C153" s="46"/>
      <c r="D153" s="46"/>
      <c r="E153" s="46"/>
      <c r="F153" s="46"/>
      <c r="G153" s="46"/>
      <c r="H153" s="46"/>
      <c r="K153" s="46"/>
    </row>
    <row r="154" spans="1:11" s="109" customFormat="1">
      <c r="A154" s="46"/>
      <c r="B154" s="46"/>
      <c r="C154" s="46"/>
      <c r="D154" s="46"/>
      <c r="E154" s="46"/>
      <c r="F154" s="46"/>
      <c r="G154" s="46"/>
      <c r="H154" s="46"/>
      <c r="K154" s="46"/>
    </row>
    <row r="155" spans="1:11" s="109" customFormat="1">
      <c r="A155" s="46"/>
      <c r="B155" s="46"/>
      <c r="C155" s="46"/>
      <c r="D155" s="46"/>
      <c r="E155" s="46"/>
      <c r="F155" s="46"/>
      <c r="G155" s="46"/>
      <c r="H155" s="46"/>
      <c r="K155" s="46"/>
    </row>
    <row r="156" spans="1:11" s="109" customFormat="1">
      <c r="A156" s="46"/>
      <c r="B156" s="46"/>
      <c r="C156" s="46"/>
      <c r="D156" s="46"/>
      <c r="E156" s="46"/>
      <c r="F156" s="46"/>
      <c r="G156" s="46"/>
      <c r="H156" s="46"/>
      <c r="K156" s="46"/>
    </row>
    <row r="157" spans="1:11" s="109" customFormat="1">
      <c r="A157" s="46"/>
      <c r="B157" s="46"/>
      <c r="C157" s="46"/>
      <c r="D157" s="46"/>
      <c r="E157" s="46"/>
      <c r="F157" s="46"/>
      <c r="G157" s="46"/>
      <c r="H157" s="46"/>
      <c r="K157" s="46"/>
    </row>
    <row r="158" spans="1:11" s="109" customFormat="1">
      <c r="A158" s="46"/>
      <c r="B158" s="46"/>
      <c r="C158" s="46"/>
      <c r="D158" s="46"/>
      <c r="E158" s="46"/>
      <c r="F158" s="46"/>
      <c r="G158" s="46"/>
      <c r="H158" s="46"/>
      <c r="K158" s="46"/>
    </row>
    <row r="159" spans="1:11" s="109" customFormat="1">
      <c r="A159" s="46"/>
      <c r="B159" s="46"/>
      <c r="C159" s="46"/>
      <c r="D159" s="46"/>
      <c r="E159" s="46"/>
      <c r="F159" s="46"/>
      <c r="G159" s="46"/>
      <c r="H159" s="46"/>
      <c r="K159" s="46"/>
    </row>
    <row r="160" spans="1:11" s="109" customFormat="1">
      <c r="A160" s="46"/>
      <c r="B160" s="46"/>
      <c r="C160" s="46"/>
      <c r="D160" s="46"/>
      <c r="E160" s="46"/>
      <c r="F160" s="46"/>
      <c r="G160" s="46"/>
      <c r="H160" s="46"/>
      <c r="K160" s="46"/>
    </row>
    <row r="161" spans="1:11" s="109" customFormat="1">
      <c r="A161" s="46"/>
      <c r="B161" s="46"/>
      <c r="C161" s="46"/>
      <c r="D161" s="46"/>
      <c r="E161" s="46"/>
      <c r="F161" s="46"/>
      <c r="G161" s="46"/>
      <c r="H161" s="46"/>
      <c r="K161" s="46"/>
    </row>
    <row r="162" spans="1:11" s="109" customFormat="1">
      <c r="A162" s="46"/>
      <c r="B162" s="46"/>
      <c r="C162" s="46"/>
      <c r="D162" s="46"/>
      <c r="E162" s="46"/>
      <c r="F162" s="46"/>
      <c r="G162" s="46"/>
      <c r="H162" s="46"/>
      <c r="K162" s="46"/>
    </row>
    <row r="163" spans="1:11" s="109" customFormat="1">
      <c r="A163" s="46"/>
      <c r="B163" s="46"/>
      <c r="C163" s="46"/>
      <c r="D163" s="46"/>
      <c r="E163" s="46"/>
      <c r="F163" s="46"/>
      <c r="G163" s="46"/>
      <c r="H163" s="46"/>
      <c r="K163" s="46"/>
    </row>
    <row r="164" spans="1:11" s="109" customFormat="1">
      <c r="A164" s="46"/>
      <c r="B164" s="46"/>
      <c r="C164" s="46"/>
      <c r="D164" s="46"/>
      <c r="E164" s="46"/>
      <c r="F164" s="46"/>
      <c r="G164" s="46"/>
      <c r="H164" s="46"/>
      <c r="K164" s="46"/>
    </row>
    <row r="165" spans="1:11" s="109" customFormat="1">
      <c r="A165" s="46"/>
      <c r="B165" s="46"/>
      <c r="C165" s="46"/>
      <c r="D165" s="46"/>
      <c r="E165" s="46"/>
      <c r="F165" s="46"/>
      <c r="G165" s="46"/>
      <c r="H165" s="46"/>
      <c r="K165" s="46"/>
    </row>
    <row r="166" spans="1:11" s="109" customFormat="1">
      <c r="A166" s="46"/>
      <c r="B166" s="46"/>
      <c r="C166" s="46"/>
      <c r="D166" s="46"/>
      <c r="E166" s="46"/>
      <c r="F166" s="46"/>
      <c r="G166" s="46"/>
      <c r="H166" s="46"/>
      <c r="K166" s="46"/>
    </row>
    <row r="167" spans="1:11" s="109" customFormat="1">
      <c r="A167" s="46"/>
      <c r="B167" s="46"/>
      <c r="C167" s="46"/>
      <c r="D167" s="46"/>
      <c r="E167" s="46"/>
      <c r="F167" s="46"/>
      <c r="G167" s="46"/>
      <c r="H167" s="46"/>
      <c r="K167" s="46"/>
    </row>
    <row r="168" spans="1:11" s="109" customFormat="1">
      <c r="A168" s="46"/>
      <c r="B168" s="46"/>
      <c r="C168" s="46"/>
      <c r="D168" s="46"/>
      <c r="E168" s="46"/>
      <c r="F168" s="46"/>
      <c r="G168" s="46"/>
      <c r="H168" s="46"/>
      <c r="K168" s="46"/>
    </row>
    <row r="169" spans="1:11" s="109" customFormat="1">
      <c r="A169" s="46"/>
      <c r="B169" s="46"/>
      <c r="C169" s="46"/>
      <c r="D169" s="46"/>
      <c r="E169" s="46"/>
      <c r="F169" s="46"/>
      <c r="G169" s="46"/>
      <c r="H169" s="46"/>
      <c r="K169" s="46"/>
    </row>
    <row r="170" spans="1:11" s="109" customFormat="1">
      <c r="A170" s="46"/>
      <c r="B170" s="46"/>
      <c r="C170" s="46"/>
      <c r="D170" s="46"/>
      <c r="E170" s="46"/>
      <c r="F170" s="46"/>
      <c r="G170" s="46"/>
      <c r="H170" s="46"/>
      <c r="K170" s="46"/>
    </row>
    <row r="171" spans="1:11" s="109" customFormat="1">
      <c r="A171" s="46"/>
      <c r="B171" s="46"/>
      <c r="C171" s="46"/>
      <c r="D171" s="46"/>
      <c r="E171" s="46"/>
      <c r="F171" s="46"/>
      <c r="G171" s="46"/>
      <c r="H171" s="46"/>
      <c r="K171" s="46"/>
    </row>
    <row r="172" spans="1:11" s="109" customFormat="1">
      <c r="A172" s="46"/>
      <c r="B172" s="46"/>
      <c r="C172" s="46"/>
      <c r="D172" s="46"/>
      <c r="E172" s="46"/>
      <c r="F172" s="46"/>
      <c r="G172" s="46"/>
      <c r="H172" s="46"/>
      <c r="K172" s="46"/>
    </row>
    <row r="173" spans="1:11" s="109" customFormat="1">
      <c r="A173" s="46"/>
      <c r="B173" s="46"/>
      <c r="C173" s="46"/>
      <c r="D173" s="46"/>
      <c r="E173" s="46"/>
      <c r="F173" s="46"/>
      <c r="G173" s="46"/>
      <c r="H173" s="46"/>
      <c r="K173" s="46"/>
    </row>
    <row r="174" spans="1:11" s="109" customFormat="1">
      <c r="A174" s="46"/>
      <c r="B174" s="46"/>
      <c r="C174" s="46"/>
      <c r="D174" s="46"/>
      <c r="E174" s="46"/>
      <c r="F174" s="46"/>
      <c r="G174" s="46"/>
      <c r="H174" s="46"/>
      <c r="K174" s="46"/>
    </row>
    <row r="175" spans="1:11" s="109" customFormat="1">
      <c r="A175" s="46"/>
      <c r="B175" s="46"/>
      <c r="C175" s="46"/>
      <c r="D175" s="46"/>
      <c r="E175" s="46"/>
      <c r="F175" s="46"/>
      <c r="G175" s="46"/>
      <c r="H175" s="46"/>
      <c r="K175" s="46"/>
    </row>
    <row r="176" spans="1:11" s="109" customFormat="1">
      <c r="A176" s="46"/>
      <c r="B176" s="46"/>
      <c r="C176" s="46"/>
      <c r="D176" s="46"/>
      <c r="E176" s="46"/>
      <c r="F176" s="46"/>
      <c r="G176" s="46"/>
      <c r="H176" s="46"/>
      <c r="K176" s="46"/>
    </row>
    <row r="177" spans="1:11" s="109" customFormat="1">
      <c r="A177" s="46"/>
      <c r="B177" s="46"/>
      <c r="C177" s="46"/>
      <c r="D177" s="46"/>
      <c r="E177" s="46"/>
      <c r="F177" s="46"/>
      <c r="G177" s="46"/>
      <c r="H177" s="46"/>
      <c r="K177" s="46"/>
    </row>
    <row r="178" spans="1:11" s="109" customFormat="1">
      <c r="A178" s="46"/>
      <c r="B178" s="46"/>
      <c r="C178" s="46"/>
      <c r="D178" s="46"/>
      <c r="E178" s="46"/>
      <c r="F178" s="46"/>
      <c r="G178" s="46"/>
      <c r="H178" s="46"/>
      <c r="K178" s="46"/>
    </row>
    <row r="179" spans="1:11" s="109" customFormat="1">
      <c r="A179" s="46"/>
      <c r="B179" s="46"/>
      <c r="C179" s="46"/>
      <c r="D179" s="46"/>
      <c r="E179" s="46"/>
      <c r="F179" s="46"/>
      <c r="G179" s="46"/>
      <c r="H179" s="46"/>
      <c r="K179" s="46"/>
    </row>
    <row r="180" spans="1:11" s="109" customFormat="1">
      <c r="A180" s="46"/>
      <c r="B180" s="46"/>
      <c r="C180" s="46"/>
      <c r="D180" s="46"/>
      <c r="E180" s="46"/>
      <c r="F180" s="46"/>
      <c r="G180" s="46"/>
      <c r="H180" s="46"/>
      <c r="K180" s="46"/>
    </row>
    <row r="181" spans="1:11" s="109" customFormat="1">
      <c r="A181" s="46"/>
      <c r="B181" s="46"/>
      <c r="C181" s="46"/>
      <c r="D181" s="46"/>
      <c r="E181" s="46"/>
      <c r="F181" s="46"/>
      <c r="G181" s="46"/>
      <c r="H181" s="46"/>
      <c r="K181" s="46"/>
    </row>
    <row r="182" spans="1:11" s="109" customFormat="1">
      <c r="A182" s="46"/>
      <c r="B182" s="46"/>
      <c r="C182" s="46"/>
      <c r="D182" s="46"/>
      <c r="E182" s="46"/>
      <c r="F182" s="46"/>
      <c r="G182" s="46"/>
      <c r="H182" s="46"/>
      <c r="K182" s="46"/>
    </row>
    <row r="183" spans="1:11" s="109" customFormat="1">
      <c r="A183" s="46"/>
      <c r="B183" s="46"/>
      <c r="C183" s="46"/>
      <c r="D183" s="46"/>
      <c r="E183" s="46"/>
      <c r="F183" s="46"/>
      <c r="G183" s="46"/>
      <c r="H183" s="46"/>
      <c r="K183" s="46"/>
    </row>
    <row r="184" spans="1:11" s="109" customFormat="1">
      <c r="A184" s="46"/>
      <c r="B184" s="46"/>
      <c r="C184" s="46"/>
      <c r="D184" s="46"/>
      <c r="E184" s="46"/>
      <c r="F184" s="46"/>
      <c r="G184" s="46"/>
      <c r="H184" s="46"/>
      <c r="K184" s="46"/>
    </row>
    <row r="185" spans="1:11" s="109" customFormat="1">
      <c r="A185" s="46"/>
      <c r="B185" s="46"/>
      <c r="C185" s="46"/>
      <c r="D185" s="46"/>
      <c r="E185" s="46"/>
      <c r="F185" s="46"/>
      <c r="G185" s="46"/>
      <c r="H185" s="46"/>
      <c r="K185" s="46"/>
    </row>
    <row r="186" spans="1:11" s="109" customFormat="1">
      <c r="A186" s="46"/>
      <c r="B186" s="46"/>
      <c r="C186" s="46"/>
      <c r="D186" s="46"/>
      <c r="E186" s="46"/>
      <c r="F186" s="46"/>
      <c r="G186" s="46"/>
      <c r="H186" s="46"/>
      <c r="K186" s="46"/>
    </row>
    <row r="187" spans="1:11" s="109" customFormat="1">
      <c r="A187" s="46"/>
      <c r="B187" s="46"/>
      <c r="C187" s="46"/>
      <c r="D187" s="46"/>
      <c r="E187" s="46"/>
      <c r="F187" s="46"/>
      <c r="G187" s="46"/>
      <c r="H187" s="46"/>
      <c r="K187" s="46"/>
    </row>
    <row r="188" spans="1:11" s="109" customFormat="1">
      <c r="A188" s="46"/>
      <c r="B188" s="46"/>
      <c r="C188" s="46"/>
      <c r="D188" s="46"/>
      <c r="E188" s="46"/>
      <c r="F188" s="46"/>
      <c r="G188" s="46"/>
      <c r="H188" s="46"/>
      <c r="K188" s="46"/>
    </row>
    <row r="189" spans="1:11" s="109" customFormat="1">
      <c r="A189" s="46"/>
      <c r="B189" s="46"/>
      <c r="C189" s="46"/>
      <c r="D189" s="46"/>
      <c r="E189" s="46"/>
      <c r="F189" s="46"/>
      <c r="G189" s="46"/>
      <c r="H189" s="46"/>
      <c r="K189" s="46"/>
    </row>
    <row r="190" spans="1:11" s="109" customFormat="1">
      <c r="A190" s="46"/>
      <c r="B190" s="46"/>
      <c r="C190" s="46"/>
      <c r="D190" s="46"/>
      <c r="E190" s="46"/>
      <c r="F190" s="46"/>
      <c r="G190" s="46"/>
      <c r="H190" s="46"/>
      <c r="K190" s="46"/>
    </row>
    <row r="191" spans="1:11" s="109" customFormat="1">
      <c r="A191" s="46"/>
      <c r="B191" s="46"/>
      <c r="C191" s="46"/>
      <c r="D191" s="46"/>
      <c r="E191" s="46"/>
      <c r="F191" s="46"/>
      <c r="G191" s="46"/>
      <c r="H191" s="46"/>
      <c r="K191" s="46"/>
    </row>
    <row r="192" spans="1:11" s="109" customFormat="1">
      <c r="A192" s="46"/>
      <c r="B192" s="46"/>
      <c r="C192" s="46"/>
      <c r="D192" s="46"/>
      <c r="E192" s="46"/>
      <c r="F192" s="46"/>
      <c r="G192" s="46"/>
      <c r="H192" s="46"/>
      <c r="K192" s="46"/>
    </row>
    <row r="193" spans="1:11" s="109" customFormat="1">
      <c r="A193" s="46"/>
      <c r="B193" s="46"/>
      <c r="C193" s="46"/>
      <c r="D193" s="46"/>
      <c r="E193" s="46"/>
      <c r="F193" s="46"/>
      <c r="G193" s="46"/>
      <c r="H193" s="46"/>
      <c r="K193" s="46"/>
    </row>
    <row r="194" spans="1:11" s="109" customFormat="1">
      <c r="A194" s="46"/>
      <c r="B194" s="46"/>
      <c r="C194" s="46"/>
      <c r="D194" s="46"/>
      <c r="E194" s="46"/>
      <c r="F194" s="46"/>
      <c r="G194" s="46"/>
      <c r="H194" s="46"/>
      <c r="K194" s="46"/>
    </row>
    <row r="195" spans="1:11" s="109" customFormat="1">
      <c r="A195" s="46"/>
      <c r="B195" s="46"/>
      <c r="C195" s="46"/>
      <c r="D195" s="46"/>
      <c r="E195" s="46"/>
      <c r="F195" s="46"/>
      <c r="G195" s="46"/>
      <c r="H195" s="46"/>
      <c r="K195" s="46"/>
    </row>
    <row r="196" spans="1:11" s="109" customFormat="1">
      <c r="A196" s="46"/>
      <c r="B196" s="46"/>
      <c r="C196" s="46"/>
      <c r="D196" s="46"/>
      <c r="E196" s="46"/>
      <c r="F196" s="46"/>
      <c r="G196" s="46"/>
      <c r="H196" s="46"/>
      <c r="K196" s="46"/>
    </row>
    <row r="197" spans="1:11" s="109" customFormat="1">
      <c r="A197" s="46"/>
      <c r="B197" s="46"/>
      <c r="C197" s="46"/>
      <c r="D197" s="46"/>
      <c r="E197" s="46"/>
      <c r="F197" s="46"/>
      <c r="G197" s="46"/>
      <c r="H197" s="46"/>
      <c r="K197" s="46"/>
    </row>
    <row r="198" spans="1:11" s="109" customFormat="1">
      <c r="A198" s="46"/>
      <c r="B198" s="46"/>
      <c r="C198" s="46"/>
      <c r="D198" s="46"/>
      <c r="E198" s="46"/>
      <c r="F198" s="46"/>
      <c r="G198" s="46"/>
      <c r="H198" s="46"/>
      <c r="K198" s="46"/>
    </row>
    <row r="199" spans="1:11" s="109" customFormat="1">
      <c r="A199" s="46"/>
      <c r="B199" s="46"/>
      <c r="C199" s="46"/>
      <c r="D199" s="46"/>
      <c r="E199" s="46"/>
      <c r="F199" s="46"/>
      <c r="G199" s="46"/>
      <c r="H199" s="46"/>
      <c r="K199" s="46"/>
    </row>
    <row r="200" spans="1:11" s="109" customFormat="1">
      <c r="A200" s="46"/>
      <c r="B200" s="46"/>
      <c r="C200" s="46"/>
      <c r="D200" s="46"/>
      <c r="E200" s="46"/>
      <c r="F200" s="46"/>
      <c r="G200" s="46"/>
      <c r="H200" s="46"/>
      <c r="K200" s="46"/>
    </row>
    <row r="201" spans="1:11" s="109" customFormat="1">
      <c r="A201" s="46"/>
      <c r="B201" s="46"/>
      <c r="C201" s="46"/>
      <c r="D201" s="46"/>
      <c r="E201" s="46"/>
      <c r="F201" s="46"/>
      <c r="G201" s="46"/>
      <c r="H201" s="46"/>
      <c r="K201" s="46"/>
    </row>
    <row r="202" spans="1:11" s="109" customFormat="1">
      <c r="A202" s="46"/>
      <c r="B202" s="46"/>
      <c r="C202" s="46"/>
      <c r="D202" s="46"/>
      <c r="E202" s="46"/>
      <c r="F202" s="46"/>
      <c r="G202" s="46"/>
      <c r="H202" s="46"/>
      <c r="K202" s="46"/>
    </row>
    <row r="203" spans="1:11" s="109" customFormat="1">
      <c r="A203" s="46"/>
      <c r="B203" s="46"/>
      <c r="C203" s="46"/>
      <c r="D203" s="46"/>
      <c r="E203" s="46"/>
      <c r="F203" s="46"/>
      <c r="G203" s="46"/>
      <c r="H203" s="46"/>
      <c r="K203" s="46"/>
    </row>
    <row r="204" spans="1:11" s="109" customFormat="1">
      <c r="A204" s="46"/>
      <c r="B204" s="46"/>
      <c r="C204" s="46"/>
      <c r="D204" s="46"/>
      <c r="E204" s="46"/>
      <c r="F204" s="46"/>
      <c r="G204" s="46"/>
      <c r="H204" s="46"/>
      <c r="K204" s="46"/>
    </row>
    <row r="205" spans="1:11" s="109" customFormat="1">
      <c r="A205" s="46"/>
      <c r="B205" s="46"/>
      <c r="C205" s="46"/>
      <c r="D205" s="46"/>
      <c r="E205" s="46"/>
      <c r="F205" s="46"/>
      <c r="G205" s="46"/>
      <c r="H205" s="46"/>
      <c r="K205" s="46"/>
    </row>
    <row r="206" spans="1:11" s="109" customFormat="1">
      <c r="A206" s="46"/>
      <c r="B206" s="46"/>
      <c r="C206" s="46"/>
      <c r="D206" s="46"/>
      <c r="E206" s="46"/>
      <c r="F206" s="46"/>
      <c r="G206" s="46"/>
      <c r="H206" s="46"/>
      <c r="K206" s="46"/>
    </row>
    <row r="207" spans="1:11" s="109" customFormat="1">
      <c r="A207" s="46"/>
      <c r="B207" s="46"/>
      <c r="C207" s="46"/>
      <c r="D207" s="46"/>
      <c r="E207" s="46"/>
      <c r="F207" s="46"/>
      <c r="G207" s="46"/>
      <c r="H207" s="46"/>
      <c r="K207" s="46"/>
    </row>
    <row r="208" spans="1:11" s="109" customFormat="1">
      <c r="A208" s="46"/>
      <c r="B208" s="46"/>
      <c r="C208" s="46"/>
      <c r="D208" s="46"/>
      <c r="E208" s="46"/>
      <c r="F208" s="46"/>
      <c r="G208" s="46"/>
      <c r="H208" s="46"/>
      <c r="K208" s="46"/>
    </row>
    <row r="209" spans="1:11" s="109" customFormat="1">
      <c r="A209" s="46"/>
      <c r="B209" s="46"/>
      <c r="C209" s="46"/>
      <c r="D209" s="46"/>
      <c r="E209" s="46"/>
      <c r="F209" s="46"/>
      <c r="G209" s="46"/>
      <c r="H209" s="46"/>
      <c r="K209" s="46"/>
    </row>
    <row r="210" spans="1:11" s="109" customFormat="1">
      <c r="A210" s="46"/>
      <c r="B210" s="46"/>
      <c r="C210" s="46"/>
      <c r="D210" s="46"/>
      <c r="E210" s="46"/>
      <c r="F210" s="46"/>
      <c r="G210" s="46"/>
      <c r="H210" s="46"/>
      <c r="K210" s="46"/>
    </row>
    <row r="211" spans="1:11" s="109" customFormat="1">
      <c r="A211" s="46"/>
      <c r="B211" s="46"/>
      <c r="C211" s="46"/>
      <c r="D211" s="46"/>
      <c r="E211" s="46"/>
      <c r="F211" s="46"/>
      <c r="G211" s="46"/>
      <c r="H211" s="46"/>
      <c r="K211" s="46"/>
    </row>
    <row r="212" spans="1:11" s="109" customFormat="1">
      <c r="A212" s="46"/>
      <c r="B212" s="46"/>
      <c r="C212" s="46"/>
      <c r="D212" s="46"/>
      <c r="E212" s="46"/>
      <c r="F212" s="46"/>
      <c r="G212" s="46"/>
      <c r="H212" s="46"/>
      <c r="K212" s="46"/>
    </row>
    <row r="213" spans="1:11" s="109" customFormat="1">
      <c r="A213" s="46"/>
      <c r="B213" s="46"/>
      <c r="C213" s="46"/>
      <c r="D213" s="46"/>
      <c r="E213" s="46"/>
      <c r="F213" s="46"/>
      <c r="G213" s="46"/>
      <c r="H213" s="46"/>
      <c r="K213" s="46"/>
    </row>
    <row r="214" spans="1:11" s="109" customFormat="1">
      <c r="A214" s="46"/>
      <c r="B214" s="46"/>
      <c r="C214" s="46"/>
      <c r="D214" s="46"/>
      <c r="E214" s="46"/>
      <c r="F214" s="46"/>
      <c r="G214" s="46"/>
      <c r="H214" s="46"/>
      <c r="K214" s="46"/>
    </row>
    <row r="215" spans="1:11" s="109" customFormat="1">
      <c r="A215" s="46"/>
      <c r="B215" s="46"/>
      <c r="C215" s="46"/>
      <c r="D215" s="46"/>
      <c r="E215" s="46"/>
      <c r="F215" s="46"/>
      <c r="G215" s="46"/>
      <c r="H215" s="46"/>
      <c r="K215" s="46"/>
    </row>
    <row r="216" spans="1:11" s="109" customFormat="1">
      <c r="A216" s="46"/>
      <c r="B216" s="46"/>
      <c r="C216" s="46"/>
      <c r="D216" s="46"/>
      <c r="E216" s="46"/>
      <c r="F216" s="46"/>
      <c r="G216" s="46"/>
      <c r="H216" s="46"/>
      <c r="K216" s="46"/>
    </row>
    <row r="217" spans="1:11" s="109" customFormat="1">
      <c r="A217" s="46"/>
      <c r="B217" s="46"/>
      <c r="C217" s="46"/>
      <c r="D217" s="46"/>
      <c r="E217" s="46"/>
      <c r="F217" s="46"/>
      <c r="G217" s="46"/>
      <c r="H217" s="46"/>
      <c r="K217" s="46"/>
    </row>
    <row r="218" spans="1:11" s="109" customFormat="1">
      <c r="A218" s="46"/>
      <c r="B218" s="46"/>
      <c r="C218" s="46"/>
      <c r="D218" s="46"/>
      <c r="E218" s="46"/>
      <c r="F218" s="46"/>
      <c r="G218" s="46"/>
      <c r="H218" s="46"/>
      <c r="K218" s="46"/>
    </row>
    <row r="219" spans="1:11" s="109" customFormat="1">
      <c r="A219" s="46"/>
      <c r="B219" s="46"/>
      <c r="C219" s="46"/>
      <c r="D219" s="46"/>
      <c r="E219" s="46"/>
      <c r="F219" s="46"/>
      <c r="G219" s="46"/>
      <c r="H219" s="46"/>
      <c r="K219" s="46"/>
    </row>
    <row r="220" spans="1:11" s="109" customFormat="1">
      <c r="A220" s="46"/>
      <c r="B220" s="46"/>
      <c r="C220" s="46"/>
      <c r="D220" s="46"/>
      <c r="E220" s="46"/>
      <c r="F220" s="46"/>
      <c r="G220" s="46"/>
      <c r="H220" s="46"/>
      <c r="K220" s="46"/>
    </row>
    <row r="221" spans="1:11" s="109" customFormat="1">
      <c r="A221" s="46"/>
      <c r="B221" s="46"/>
      <c r="C221" s="46"/>
      <c r="D221" s="46"/>
      <c r="E221" s="46"/>
      <c r="F221" s="46"/>
      <c r="G221" s="46"/>
      <c r="H221" s="46"/>
      <c r="K221" s="46"/>
    </row>
    <row r="222" spans="1:11" s="109" customFormat="1">
      <c r="A222" s="46"/>
      <c r="B222" s="46"/>
      <c r="C222" s="46"/>
      <c r="D222" s="46"/>
      <c r="E222" s="46"/>
      <c r="F222" s="46"/>
      <c r="G222" s="46"/>
      <c r="H222" s="46"/>
      <c r="K222" s="46"/>
    </row>
    <row r="223" spans="1:11" s="109" customFormat="1">
      <c r="A223" s="46"/>
      <c r="B223" s="46"/>
      <c r="C223" s="46"/>
      <c r="D223" s="46"/>
      <c r="E223" s="46"/>
      <c r="F223" s="46"/>
      <c r="G223" s="46"/>
      <c r="H223" s="46"/>
      <c r="K223" s="46"/>
    </row>
    <row r="224" spans="1:11" s="109" customFormat="1">
      <c r="A224" s="46"/>
      <c r="B224" s="46"/>
      <c r="C224" s="46"/>
      <c r="D224" s="46"/>
      <c r="E224" s="46"/>
      <c r="F224" s="46"/>
      <c r="G224" s="46"/>
      <c r="H224" s="46"/>
      <c r="K224" s="46"/>
    </row>
    <row r="225" spans="1:11" s="109" customFormat="1">
      <c r="A225" s="46"/>
      <c r="B225" s="46"/>
      <c r="C225" s="46"/>
      <c r="D225" s="46"/>
      <c r="E225" s="46"/>
      <c r="F225" s="46"/>
      <c r="G225" s="46"/>
      <c r="H225" s="46"/>
      <c r="K225" s="46"/>
    </row>
    <row r="226" spans="1:11" s="109" customFormat="1">
      <c r="A226" s="46"/>
      <c r="B226" s="46"/>
      <c r="C226" s="46"/>
      <c r="D226" s="46"/>
      <c r="E226" s="46"/>
      <c r="F226" s="46"/>
      <c r="G226" s="46"/>
      <c r="H226" s="46"/>
      <c r="K226" s="46"/>
    </row>
    <row r="227" spans="1:11" s="109" customFormat="1">
      <c r="A227" s="46"/>
      <c r="B227" s="46"/>
      <c r="C227" s="46"/>
      <c r="D227" s="46"/>
      <c r="E227" s="46"/>
      <c r="F227" s="46"/>
      <c r="G227" s="46"/>
      <c r="H227" s="46"/>
      <c r="K227" s="46"/>
    </row>
    <row r="228" spans="1:11" s="109" customFormat="1">
      <c r="A228" s="46"/>
      <c r="B228" s="46"/>
      <c r="C228" s="46"/>
      <c r="D228" s="46"/>
      <c r="E228" s="46"/>
      <c r="F228" s="46"/>
      <c r="G228" s="46"/>
      <c r="H228" s="46"/>
      <c r="K228" s="46"/>
    </row>
    <row r="229" spans="1:11" s="109" customFormat="1">
      <c r="A229" s="46"/>
      <c r="B229" s="46"/>
      <c r="C229" s="46"/>
      <c r="D229" s="46"/>
      <c r="E229" s="46"/>
      <c r="F229" s="46"/>
      <c r="G229" s="46"/>
      <c r="H229" s="46"/>
      <c r="K229" s="46"/>
    </row>
    <row r="230" spans="1:11" s="109" customFormat="1">
      <c r="A230" s="46"/>
      <c r="B230" s="46"/>
      <c r="C230" s="46"/>
      <c r="D230" s="46"/>
      <c r="E230" s="46"/>
      <c r="F230" s="46"/>
      <c r="G230" s="46"/>
      <c r="H230" s="46"/>
      <c r="K230" s="46"/>
    </row>
    <row r="231" spans="1:11" s="109" customFormat="1">
      <c r="A231" s="46"/>
      <c r="B231" s="46"/>
      <c r="C231" s="46"/>
      <c r="D231" s="46"/>
      <c r="E231" s="46"/>
      <c r="F231" s="46"/>
      <c r="G231" s="46"/>
      <c r="H231" s="46"/>
      <c r="K231" s="46"/>
    </row>
  </sheetData>
  <mergeCells count="3">
    <mergeCell ref="A2:J2"/>
    <mergeCell ref="A3:J3"/>
    <mergeCell ref="A4:J4"/>
  </mergeCells>
  <pageMargins left="0.27" right="0.15" top="0.39" bottom="0.1" header="0.21" footer="0.1"/>
  <pageSetup scale="90" orientation="portrait" horizontalDpi="300" verticalDpi="300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FF00"/>
  </sheetPr>
  <dimension ref="A1:N231"/>
  <sheetViews>
    <sheetView topLeftCell="A22" workbookViewId="0">
      <selection activeCell="J13" sqref="J13"/>
    </sheetView>
  </sheetViews>
  <sheetFormatPr defaultRowHeight="12.75"/>
  <cols>
    <col min="1" max="1" width="6" style="46" customWidth="1"/>
    <col min="2" max="3" width="9.140625" style="46"/>
    <col min="4" max="4" width="16.5703125" style="46" customWidth="1"/>
    <col min="5" max="5" width="12.42578125" style="46" customWidth="1"/>
    <col min="6" max="6" width="13.140625" style="46" customWidth="1"/>
    <col min="7" max="7" width="10" style="46" customWidth="1"/>
    <col min="8" max="8" width="11.5703125" style="46" customWidth="1"/>
    <col min="9" max="9" width="11.42578125" style="46" customWidth="1"/>
    <col min="10" max="10" width="13.28515625" style="109" customWidth="1"/>
    <col min="11" max="11" width="15.7109375" style="46" customWidth="1"/>
    <col min="12" max="12" width="16.85546875" style="109" customWidth="1"/>
    <col min="13" max="13" width="17" style="109" customWidth="1"/>
    <col min="14" max="14" width="17" style="46" customWidth="1"/>
    <col min="15" max="16384" width="9.140625" style="46"/>
  </cols>
  <sheetData>
    <row r="1" spans="1:13">
      <c r="A1" s="47"/>
      <c r="B1" s="48"/>
      <c r="C1" s="48"/>
      <c r="D1" s="48"/>
      <c r="E1" s="48"/>
      <c r="F1" s="48"/>
      <c r="G1" s="48"/>
      <c r="H1" s="48"/>
      <c r="I1" s="48"/>
      <c r="J1" s="169" t="s">
        <v>81</v>
      </c>
    </row>
    <row r="2" spans="1:13">
      <c r="A2" s="389" t="s">
        <v>80</v>
      </c>
      <c r="B2" s="390"/>
      <c r="C2" s="390"/>
      <c r="D2" s="390"/>
      <c r="E2" s="390"/>
      <c r="F2" s="390"/>
      <c r="G2" s="390"/>
      <c r="H2" s="390"/>
      <c r="I2" s="390"/>
      <c r="J2" s="391"/>
    </row>
    <row r="3" spans="1:13">
      <c r="A3" s="389" t="s">
        <v>173</v>
      </c>
      <c r="B3" s="390"/>
      <c r="C3" s="390"/>
      <c r="D3" s="390"/>
      <c r="E3" s="390"/>
      <c r="F3" s="390"/>
      <c r="G3" s="390"/>
      <c r="H3" s="390"/>
      <c r="I3" s="390"/>
      <c r="J3" s="391"/>
    </row>
    <row r="4" spans="1:13">
      <c r="A4" s="389"/>
      <c r="B4" s="390"/>
      <c r="C4" s="390"/>
      <c r="D4" s="390"/>
      <c r="E4" s="390"/>
      <c r="F4" s="390"/>
      <c r="G4" s="390"/>
      <c r="H4" s="390"/>
      <c r="I4" s="390"/>
      <c r="J4" s="391"/>
    </row>
    <row r="5" spans="1:13">
      <c r="A5" s="54" t="s">
        <v>77</v>
      </c>
      <c r="B5" s="188"/>
      <c r="C5" s="188"/>
      <c r="D5" s="188"/>
      <c r="E5" s="188"/>
      <c r="F5" s="188"/>
      <c r="G5" s="188"/>
      <c r="H5" s="188"/>
      <c r="I5" s="188"/>
      <c r="J5" s="170"/>
    </row>
    <row r="6" spans="1:13">
      <c r="A6" s="54" t="s">
        <v>76</v>
      </c>
      <c r="B6" s="55"/>
      <c r="C6" s="55"/>
      <c r="D6" s="55"/>
      <c r="E6" s="55"/>
      <c r="F6" s="55"/>
      <c r="G6" s="55"/>
      <c r="H6" s="55"/>
      <c r="I6" s="55"/>
      <c r="J6" s="171"/>
    </row>
    <row r="7" spans="1:13">
      <c r="A7" s="47"/>
      <c r="B7" s="48"/>
      <c r="C7" s="48"/>
      <c r="D7" s="49"/>
      <c r="E7" s="88" t="s">
        <v>8</v>
      </c>
      <c r="F7" s="50"/>
      <c r="G7" s="52"/>
      <c r="H7" s="52"/>
      <c r="I7" s="53"/>
      <c r="J7" s="110"/>
    </row>
    <row r="8" spans="1:13">
      <c r="A8" s="54"/>
      <c r="B8" s="55"/>
      <c r="C8" s="55"/>
      <c r="D8" s="56"/>
      <c r="E8" s="187" t="s">
        <v>9</v>
      </c>
      <c r="F8" s="53"/>
      <c r="G8" s="59"/>
      <c r="H8" s="59"/>
      <c r="I8" s="58"/>
      <c r="J8" s="111"/>
    </row>
    <row r="9" spans="1:13">
      <c r="A9" s="61" t="s">
        <v>68</v>
      </c>
      <c r="B9" s="55"/>
      <c r="C9" s="55"/>
      <c r="D9" s="56"/>
      <c r="E9" s="187" t="s">
        <v>10</v>
      </c>
      <c r="F9" s="60" t="s">
        <v>12</v>
      </c>
      <c r="G9" s="60" t="s">
        <v>14</v>
      </c>
      <c r="H9" s="60" t="s">
        <v>20</v>
      </c>
      <c r="I9" s="60" t="s">
        <v>22</v>
      </c>
      <c r="J9" s="112" t="s">
        <v>24</v>
      </c>
    </row>
    <row r="10" spans="1:13">
      <c r="A10" s="54"/>
      <c r="B10" s="55"/>
      <c r="C10" s="55"/>
      <c r="D10" s="56"/>
      <c r="E10" s="187" t="s">
        <v>11</v>
      </c>
      <c r="F10" s="60" t="s">
        <v>13</v>
      </c>
      <c r="G10" s="59"/>
      <c r="H10" s="60" t="s">
        <v>21</v>
      </c>
      <c r="I10" s="60" t="s">
        <v>23</v>
      </c>
      <c r="J10" s="111"/>
    </row>
    <row r="11" spans="1:13">
      <c r="A11" s="62"/>
      <c r="B11" s="63"/>
      <c r="C11" s="63"/>
      <c r="D11" s="64"/>
      <c r="E11" s="65">
        <v>0.3</v>
      </c>
      <c r="F11" s="66">
        <v>0.7</v>
      </c>
      <c r="G11" s="59"/>
      <c r="H11" s="67"/>
      <c r="I11" s="68"/>
      <c r="J11" s="113"/>
    </row>
    <row r="12" spans="1:13" ht="18" customHeight="1">
      <c r="A12" s="70" t="s">
        <v>0</v>
      </c>
      <c r="B12" s="71"/>
      <c r="C12" s="71"/>
      <c r="D12" s="72"/>
      <c r="E12" s="51"/>
      <c r="F12" s="51"/>
      <c r="G12" s="51"/>
      <c r="H12" s="51"/>
      <c r="I12" s="51"/>
      <c r="J12" s="110"/>
      <c r="L12" s="118" t="s">
        <v>90</v>
      </c>
      <c r="M12" s="118" t="s">
        <v>89</v>
      </c>
    </row>
    <row r="13" spans="1:13" ht="18" customHeight="1">
      <c r="A13" s="73" t="s">
        <v>1</v>
      </c>
      <c r="B13" s="72"/>
      <c r="C13" s="72"/>
      <c r="D13" s="72"/>
      <c r="E13" s="94">
        <f>M19*0.3</f>
        <v>474256.42079999996</v>
      </c>
      <c r="F13" s="94">
        <f>M19*0.7</f>
        <v>1106598.3151999998</v>
      </c>
      <c r="G13" s="94"/>
      <c r="H13" s="94"/>
      <c r="I13" s="94"/>
      <c r="J13" s="275">
        <f>SUM(E13:I13)</f>
        <v>1580854.7359999998</v>
      </c>
      <c r="K13" s="175" t="e">
        <f>SUM(J13+#REF!+#REF!+#REF!+#REF!+#REF!+#REF!+#REF!+#REF!+#REF!+#REF!+#REF!)</f>
        <v>#REF!</v>
      </c>
      <c r="L13" s="109">
        <v>21367644.399999999</v>
      </c>
      <c r="M13" s="109">
        <v>4171566.4</v>
      </c>
    </row>
    <row r="14" spans="1:13" ht="18" customHeight="1">
      <c r="A14" s="73" t="s">
        <v>2</v>
      </c>
      <c r="B14" s="72"/>
      <c r="C14" s="72"/>
      <c r="D14" s="72"/>
      <c r="E14" s="102"/>
      <c r="F14" s="102"/>
      <c r="G14" s="102"/>
      <c r="H14" s="102"/>
      <c r="I14" s="102"/>
      <c r="J14" s="110">
        <f>SUM(E14:I14)</f>
        <v>0</v>
      </c>
      <c r="K14" s="117" t="s">
        <v>88</v>
      </c>
      <c r="L14" s="109">
        <v>9400000</v>
      </c>
      <c r="M14" s="109">
        <v>5637398.9699999997</v>
      </c>
    </row>
    <row r="15" spans="1:13" ht="18" customHeight="1">
      <c r="A15" s="75" t="s">
        <v>3</v>
      </c>
      <c r="B15" s="48"/>
      <c r="C15" s="48"/>
      <c r="D15" s="48"/>
      <c r="E15" s="102"/>
      <c r="F15" s="102"/>
      <c r="G15" s="102"/>
      <c r="H15" s="102"/>
      <c r="I15" s="102"/>
      <c r="J15" s="110"/>
      <c r="L15" s="116">
        <f>SUM(L13:L14)</f>
        <v>30767644.399999999</v>
      </c>
      <c r="M15" s="116">
        <f>SUM(M13:M14)</f>
        <v>9808965.3699999992</v>
      </c>
    </row>
    <row r="16" spans="1:13" ht="18" customHeight="1">
      <c r="A16" s="76" t="s">
        <v>78</v>
      </c>
      <c r="B16" s="55"/>
      <c r="C16" s="55"/>
      <c r="D16" s="55"/>
      <c r="E16" s="103"/>
      <c r="F16" s="103"/>
      <c r="G16" s="103"/>
      <c r="H16" s="103"/>
      <c r="I16" s="103"/>
      <c r="J16" s="113">
        <f>SUM(E16:I16)</f>
        <v>0</v>
      </c>
      <c r="K16" s="46">
        <v>11930281.960000001</v>
      </c>
    </row>
    <row r="17" spans="1:13" ht="18" customHeight="1">
      <c r="A17" s="77" t="s">
        <v>79</v>
      </c>
      <c r="B17" s="72"/>
      <c r="C17" s="72"/>
      <c r="D17" s="72"/>
      <c r="E17" s="94"/>
      <c r="F17" s="94"/>
      <c r="G17" s="94"/>
      <c r="H17" s="94"/>
      <c r="I17" s="94"/>
      <c r="J17" s="113">
        <f>SUM(E17:I17)</f>
        <v>0</v>
      </c>
      <c r="K17" s="173">
        <f>K16-J16</f>
        <v>11930281.960000001</v>
      </c>
      <c r="M17" s="109">
        <v>25936573.030000001</v>
      </c>
    </row>
    <row r="18" spans="1:13" ht="18" customHeight="1">
      <c r="A18" s="70" t="s">
        <v>7</v>
      </c>
      <c r="B18" s="72"/>
      <c r="C18" s="72"/>
      <c r="D18" s="72"/>
      <c r="E18" s="119">
        <f>SUM(E13:E17)</f>
        <v>474256.42079999996</v>
      </c>
      <c r="F18" s="119">
        <f t="shared" ref="F18:J18" si="0">SUM(F13:F17)</f>
        <v>1106598.3151999998</v>
      </c>
      <c r="G18" s="119">
        <f t="shared" si="0"/>
        <v>0</v>
      </c>
      <c r="H18" s="119">
        <f t="shared" si="0"/>
        <v>0</v>
      </c>
      <c r="I18" s="119">
        <f t="shared" si="0"/>
        <v>0</v>
      </c>
      <c r="J18" s="119">
        <f t="shared" si="0"/>
        <v>1580854.7359999998</v>
      </c>
      <c r="K18" s="166">
        <f t="shared" ref="K18:K40" si="1">SUM(E18:I18)</f>
        <v>1580854.7359999998</v>
      </c>
      <c r="L18" s="193" t="s">
        <v>171</v>
      </c>
      <c r="M18" s="192">
        <f>145222499.28-113605404.56</f>
        <v>31617094.719999999</v>
      </c>
    </row>
    <row r="19" spans="1:13" s="109" customFormat="1" ht="18" customHeight="1">
      <c r="A19" s="74" t="s">
        <v>99</v>
      </c>
      <c r="B19" s="72" t="s">
        <v>100</v>
      </c>
      <c r="C19" s="72"/>
      <c r="D19" s="72"/>
      <c r="E19" s="94">
        <f>SUM('DRRM Funds Feb 2014 '!E41)</f>
        <v>9861040.5883999988</v>
      </c>
      <c r="F19" s="94">
        <f>SUM('DRRM Funds Feb 2014 '!F41)</f>
        <v>19681154.939599998</v>
      </c>
      <c r="G19" s="94">
        <f>SUM('DRRM Funds Feb 2014 '!G41)</f>
        <v>0</v>
      </c>
      <c r="H19" s="94">
        <f>SUM('DRRM Funds Feb 2014 '!H41)</f>
        <v>10140</v>
      </c>
      <c r="I19" s="94">
        <f>SUM('DRRM Funds Feb 2014 '!I41)</f>
        <v>0</v>
      </c>
      <c r="J19" s="94">
        <f>SUM('DRRM Funds Feb 2014 '!J41)</f>
        <v>29552335.527999997</v>
      </c>
      <c r="K19" s="166">
        <f t="shared" si="1"/>
        <v>29552335.527999997</v>
      </c>
      <c r="L19" s="194">
        <v>0.05</v>
      </c>
      <c r="M19" s="192">
        <f>M18*0.05</f>
        <v>1580854.736</v>
      </c>
    </row>
    <row r="20" spans="1:13" s="109" customFormat="1" ht="18" customHeight="1">
      <c r="A20" s="70" t="s">
        <v>101</v>
      </c>
      <c r="B20" s="122"/>
      <c r="C20" s="72"/>
      <c r="D20" s="72"/>
      <c r="E20" s="119">
        <f>SUM(E18:E19)</f>
        <v>10335297.009199999</v>
      </c>
      <c r="F20" s="119">
        <f t="shared" ref="F20:J20" si="2">SUM(F18:F19)</f>
        <v>20787753.254799999</v>
      </c>
      <c r="G20" s="119">
        <f t="shared" si="2"/>
        <v>0</v>
      </c>
      <c r="H20" s="119">
        <f t="shared" si="2"/>
        <v>10140</v>
      </c>
      <c r="I20" s="119">
        <f t="shared" si="2"/>
        <v>0</v>
      </c>
      <c r="J20" s="119">
        <f t="shared" si="2"/>
        <v>31133190.263999999</v>
      </c>
      <c r="K20" s="166">
        <f t="shared" si="1"/>
        <v>31133190.263999999</v>
      </c>
    </row>
    <row r="21" spans="1:13" ht="18" customHeight="1">
      <c r="A21" s="70" t="s">
        <v>15</v>
      </c>
      <c r="B21" s="72"/>
      <c r="C21" s="72"/>
      <c r="D21" s="72"/>
      <c r="E21" s="94"/>
      <c r="F21" s="94"/>
      <c r="G21" s="94"/>
      <c r="H21" s="94"/>
      <c r="I21" s="94"/>
      <c r="J21" s="111"/>
      <c r="K21" s="166">
        <f t="shared" si="1"/>
        <v>0</v>
      </c>
      <c r="M21" s="109">
        <v>26972032.48</v>
      </c>
    </row>
    <row r="22" spans="1:13" ht="18" customHeight="1">
      <c r="A22" s="78" t="s">
        <v>16</v>
      </c>
      <c r="B22" s="72"/>
      <c r="C22" s="72"/>
      <c r="D22" s="72"/>
      <c r="E22" s="94"/>
      <c r="F22" s="94">
        <v>38980</v>
      </c>
      <c r="G22" s="94"/>
      <c r="H22" s="94"/>
      <c r="I22" s="94"/>
      <c r="J22" s="114">
        <f t="shared" ref="J22" si="3">SUM(E22:I22)</f>
        <v>38980</v>
      </c>
      <c r="K22" s="166">
        <f t="shared" si="1"/>
        <v>38980</v>
      </c>
      <c r="L22" s="176">
        <f>518731460.56*0.05</f>
        <v>25936573.028000001</v>
      </c>
      <c r="M22" s="109">
        <v>10934284.82</v>
      </c>
    </row>
    <row r="23" spans="1:13" ht="18" customHeight="1">
      <c r="A23" s="78" t="s">
        <v>70</v>
      </c>
      <c r="B23" s="72"/>
      <c r="C23" s="72"/>
      <c r="D23" s="72"/>
      <c r="E23" s="94"/>
      <c r="F23" s="94">
        <f>18000+2100+95000+80000+14250+9000</f>
        <v>218350</v>
      </c>
      <c r="G23" s="94"/>
      <c r="H23" s="94"/>
      <c r="I23" s="94"/>
      <c r="J23" s="114">
        <f>SUM(E23:I23)</f>
        <v>218350</v>
      </c>
      <c r="K23" s="166">
        <f t="shared" si="1"/>
        <v>218350</v>
      </c>
      <c r="L23" s="109" t="e">
        <f>L22-K13</f>
        <v>#REF!</v>
      </c>
      <c r="M23" s="109">
        <f>M21-M22</f>
        <v>16037747.66</v>
      </c>
    </row>
    <row r="24" spans="1:13" ht="18" customHeight="1">
      <c r="A24" s="78" t="s">
        <v>71</v>
      </c>
      <c r="B24" s="72"/>
      <c r="C24" s="72"/>
      <c r="D24" s="72"/>
      <c r="E24" s="94"/>
      <c r="F24" s="94">
        <f>210316.64+226102.5+10400+5200+2700</f>
        <v>454719.14</v>
      </c>
      <c r="G24" s="94"/>
      <c r="H24" s="94"/>
      <c r="I24" s="94"/>
      <c r="J24" s="114">
        <f t="shared" ref="J24:J37" si="4">SUM(E24:I24)</f>
        <v>454719.14</v>
      </c>
      <c r="K24" s="166">
        <f t="shared" si="1"/>
        <v>454719.14</v>
      </c>
    </row>
    <row r="25" spans="1:13" ht="18" customHeight="1">
      <c r="A25" s="79" t="s">
        <v>91</v>
      </c>
      <c r="B25" s="72"/>
      <c r="C25" s="72"/>
      <c r="D25" s="72"/>
      <c r="E25" s="94"/>
      <c r="F25" s="94">
        <f>53000+1921+1200</f>
        <v>56121</v>
      </c>
      <c r="G25" s="94"/>
      <c r="H25" s="94"/>
      <c r="I25" s="94"/>
      <c r="J25" s="114">
        <f t="shared" si="4"/>
        <v>56121</v>
      </c>
      <c r="K25" s="166">
        <f t="shared" si="1"/>
        <v>56121</v>
      </c>
    </row>
    <row r="26" spans="1:13" ht="18" customHeight="1">
      <c r="A26" s="78" t="s">
        <v>17</v>
      </c>
      <c r="B26" s="72"/>
      <c r="C26" s="72"/>
      <c r="D26" s="72"/>
      <c r="E26" s="94"/>
      <c r="F26" s="94"/>
      <c r="G26" s="94"/>
      <c r="H26" s="94"/>
      <c r="I26" s="94"/>
      <c r="J26" s="114">
        <f t="shared" si="4"/>
        <v>0</v>
      </c>
      <c r="K26" s="166">
        <f t="shared" si="1"/>
        <v>0</v>
      </c>
    </row>
    <row r="27" spans="1:13" ht="18" customHeight="1">
      <c r="A27" s="78" t="s">
        <v>18</v>
      </c>
      <c r="B27" s="72"/>
      <c r="C27" s="72"/>
      <c r="D27" s="72"/>
      <c r="E27" s="94"/>
      <c r="F27" s="94">
        <f>12000+20220</f>
        <v>32220</v>
      </c>
      <c r="G27" s="94"/>
      <c r="H27" s="94"/>
      <c r="I27" s="94"/>
      <c r="J27" s="114">
        <f t="shared" si="4"/>
        <v>32220</v>
      </c>
      <c r="K27" s="166">
        <f t="shared" si="1"/>
        <v>32220</v>
      </c>
      <c r="L27" s="118" t="s">
        <v>162</v>
      </c>
    </row>
    <row r="28" spans="1:13" ht="18" customHeight="1">
      <c r="A28" s="78" t="s">
        <v>102</v>
      </c>
      <c r="B28" s="72"/>
      <c r="C28" s="72"/>
      <c r="D28" s="72"/>
      <c r="E28" s="94"/>
      <c r="F28" s="94">
        <v>60000</v>
      </c>
      <c r="G28" s="94"/>
      <c r="H28" s="94"/>
      <c r="I28" s="94"/>
      <c r="J28" s="114">
        <f t="shared" si="4"/>
        <v>60000</v>
      </c>
      <c r="K28" s="166">
        <f t="shared" si="1"/>
        <v>60000</v>
      </c>
      <c r="L28" s="109">
        <f>SUM(F27:F28)</f>
        <v>92220</v>
      </c>
    </row>
    <row r="29" spans="1:13" ht="18" customHeight="1">
      <c r="A29" s="78" t="s">
        <v>19</v>
      </c>
      <c r="B29" s="72"/>
      <c r="C29" s="72"/>
      <c r="D29" s="72"/>
      <c r="E29" s="94"/>
      <c r="F29" s="94"/>
      <c r="G29" s="94"/>
      <c r="H29" s="94"/>
      <c r="I29" s="94"/>
      <c r="J29" s="114">
        <f t="shared" si="4"/>
        <v>0</v>
      </c>
      <c r="K29" s="166">
        <f t="shared" si="1"/>
        <v>0</v>
      </c>
      <c r="L29" s="109">
        <v>147060</v>
      </c>
    </row>
    <row r="30" spans="1:13" ht="18" customHeight="1">
      <c r="A30" s="78" t="s">
        <v>168</v>
      </c>
      <c r="B30" s="72"/>
      <c r="C30" s="72"/>
      <c r="D30" s="72"/>
      <c r="E30" s="94"/>
      <c r="F30" s="94"/>
      <c r="G30" s="94"/>
      <c r="H30" s="94"/>
      <c r="I30" s="94"/>
      <c r="J30" s="114">
        <f t="shared" si="4"/>
        <v>0</v>
      </c>
      <c r="K30" s="166">
        <f t="shared" si="1"/>
        <v>0</v>
      </c>
    </row>
    <row r="31" spans="1:13" ht="18" customHeight="1">
      <c r="A31" s="78" t="s">
        <v>98</v>
      </c>
      <c r="B31" s="72"/>
      <c r="C31" s="72"/>
      <c r="D31" s="72"/>
      <c r="E31" s="94"/>
      <c r="F31" s="94"/>
      <c r="G31" s="94"/>
      <c r="H31" s="94"/>
      <c r="I31" s="94"/>
      <c r="J31" s="114"/>
      <c r="K31" s="166">
        <f t="shared" si="1"/>
        <v>0</v>
      </c>
      <c r="L31" s="109">
        <v>1555500</v>
      </c>
    </row>
    <row r="32" spans="1:13" ht="18" customHeight="1">
      <c r="A32" s="78"/>
      <c r="B32" s="72" t="s">
        <v>5</v>
      </c>
      <c r="C32" s="72"/>
      <c r="D32" s="72"/>
      <c r="E32" s="94"/>
      <c r="F32" s="94"/>
      <c r="G32" s="94"/>
      <c r="H32" s="94"/>
      <c r="I32" s="94"/>
      <c r="J32" s="114">
        <f t="shared" si="4"/>
        <v>0</v>
      </c>
      <c r="K32" s="166">
        <f t="shared" si="1"/>
        <v>0</v>
      </c>
      <c r="L32" s="109">
        <v>229640</v>
      </c>
      <c r="M32" s="109">
        <v>2313123</v>
      </c>
    </row>
    <row r="33" spans="1:14" ht="18" customHeight="1">
      <c r="A33" s="78"/>
      <c r="B33" s="72" t="s">
        <v>97</v>
      </c>
      <c r="C33" s="72"/>
      <c r="D33" s="72"/>
      <c r="E33" s="94"/>
      <c r="F33" s="94"/>
      <c r="G33" s="94"/>
      <c r="H33" s="94"/>
      <c r="I33" s="94"/>
      <c r="J33" s="114">
        <f t="shared" si="4"/>
        <v>0</v>
      </c>
      <c r="K33" s="166">
        <f t="shared" si="1"/>
        <v>0</v>
      </c>
      <c r="L33" s="109">
        <v>2209000</v>
      </c>
    </row>
    <row r="34" spans="1:14" ht="18" customHeight="1">
      <c r="A34" s="78" t="s">
        <v>75</v>
      </c>
      <c r="B34" s="72"/>
      <c r="C34" s="72"/>
      <c r="D34" s="72"/>
      <c r="E34" s="94"/>
      <c r="F34" s="94"/>
      <c r="G34" s="94"/>
      <c r="H34" s="94"/>
      <c r="I34" s="94"/>
      <c r="J34" s="114">
        <f t="shared" si="4"/>
        <v>0</v>
      </c>
      <c r="K34" s="166">
        <f t="shared" si="1"/>
        <v>0</v>
      </c>
      <c r="L34" s="109">
        <v>173800</v>
      </c>
    </row>
    <row r="35" spans="1:14" ht="18" customHeight="1">
      <c r="A35" s="79" t="s">
        <v>94</v>
      </c>
      <c r="B35" s="72"/>
      <c r="C35" s="72"/>
      <c r="D35" s="72"/>
      <c r="E35" s="94"/>
      <c r="F35" s="94"/>
      <c r="G35" s="94"/>
      <c r="H35" s="94"/>
      <c r="I35" s="94"/>
      <c r="J35" s="114">
        <f t="shared" si="4"/>
        <v>0</v>
      </c>
      <c r="K35" s="166">
        <f t="shared" si="1"/>
        <v>0</v>
      </c>
      <c r="L35" s="109">
        <v>177000</v>
      </c>
    </row>
    <row r="36" spans="1:14" ht="18" customHeight="1">
      <c r="A36" s="79" t="s">
        <v>95</v>
      </c>
      <c r="B36" s="72"/>
      <c r="C36" s="72"/>
      <c r="D36" s="72"/>
      <c r="E36" s="94"/>
      <c r="F36" s="94"/>
      <c r="G36" s="94"/>
      <c r="H36" s="94"/>
      <c r="I36" s="94"/>
      <c r="J36" s="114">
        <f t="shared" si="4"/>
        <v>0</v>
      </c>
      <c r="K36" s="166">
        <f t="shared" si="1"/>
        <v>0</v>
      </c>
      <c r="L36" s="109">
        <v>204055</v>
      </c>
    </row>
    <row r="37" spans="1:14" ht="18" customHeight="1">
      <c r="A37" s="78" t="s">
        <v>96</v>
      </c>
      <c r="B37" s="72"/>
      <c r="C37" s="72"/>
      <c r="D37" s="72"/>
      <c r="E37" s="94"/>
      <c r="F37" s="94"/>
      <c r="G37" s="94"/>
      <c r="H37" s="94"/>
      <c r="I37" s="94"/>
      <c r="J37" s="114">
        <f t="shared" si="4"/>
        <v>0</v>
      </c>
      <c r="K37" s="166">
        <f t="shared" si="1"/>
        <v>0</v>
      </c>
      <c r="L37" s="109">
        <v>71070</v>
      </c>
    </row>
    <row r="38" spans="1:14" ht="18" customHeight="1">
      <c r="A38" s="84" t="s">
        <v>92</v>
      </c>
      <c r="B38" s="63"/>
      <c r="C38" s="63"/>
      <c r="D38" s="63"/>
      <c r="E38" s="94">
        <f t="shared" ref="E38:J38" si="5">SUM(E22:E37)</f>
        <v>0</v>
      </c>
      <c r="F38" s="94">
        <f t="shared" si="5"/>
        <v>860390.14</v>
      </c>
      <c r="G38" s="94">
        <f t="shared" si="5"/>
        <v>0</v>
      </c>
      <c r="H38" s="94">
        <f t="shared" si="5"/>
        <v>0</v>
      </c>
      <c r="I38" s="94">
        <f t="shared" si="5"/>
        <v>0</v>
      </c>
      <c r="J38" s="94">
        <f t="shared" si="5"/>
        <v>860390.14</v>
      </c>
      <c r="K38" s="166">
        <f t="shared" si="1"/>
        <v>860390.14</v>
      </c>
      <c r="L38" s="109">
        <v>27800</v>
      </c>
      <c r="M38" s="46"/>
    </row>
    <row r="39" spans="1:14" ht="18" customHeight="1">
      <c r="A39" s="84" t="s">
        <v>103</v>
      </c>
      <c r="B39" s="63"/>
      <c r="C39" s="63"/>
      <c r="D39" s="63"/>
      <c r="E39" s="103">
        <f>SUM('DRRM Funds Feb 2014 '!E40)</f>
        <v>0</v>
      </c>
      <c r="F39" s="103">
        <f>SUM('DRRM Funds Feb 2014 '!F40)</f>
        <v>222641.5</v>
      </c>
      <c r="G39" s="103">
        <f>SUM('DRRM Funds Feb 2014 '!G40)</f>
        <v>0</v>
      </c>
      <c r="H39" s="103">
        <f>SUM('DRRM Funds Feb 2014 '!H40)</f>
        <v>0</v>
      </c>
      <c r="I39" s="103">
        <f>SUM('DRRM Funds Feb 2014 '!I40)</f>
        <v>0</v>
      </c>
      <c r="J39" s="103">
        <f>SUM('DRRM Funds Feb 2014 '!J40)</f>
        <v>222641.5</v>
      </c>
      <c r="K39" s="166">
        <f t="shared" si="1"/>
        <v>222641.5</v>
      </c>
      <c r="L39" s="109">
        <v>126865</v>
      </c>
      <c r="M39" s="109">
        <f>SUM(E39:H39)</f>
        <v>222641.5</v>
      </c>
    </row>
    <row r="40" spans="1:14" ht="18" customHeight="1">
      <c r="A40" s="84" t="s">
        <v>104</v>
      </c>
      <c r="B40" s="63"/>
      <c r="C40" s="63"/>
      <c r="D40" s="63"/>
      <c r="E40" s="103">
        <f>SUM(E38:E39)</f>
        <v>0</v>
      </c>
      <c r="F40" s="103">
        <f>SUM(F38:F39)</f>
        <v>1083031.6400000001</v>
      </c>
      <c r="G40" s="103">
        <f t="shared" ref="G40:J40" si="6">SUM(G38:G39)</f>
        <v>0</v>
      </c>
      <c r="H40" s="103">
        <f t="shared" si="6"/>
        <v>0</v>
      </c>
      <c r="I40" s="103">
        <f t="shared" si="6"/>
        <v>0</v>
      </c>
      <c r="J40" s="103">
        <f t="shared" si="6"/>
        <v>1083031.6400000001</v>
      </c>
      <c r="K40" s="166">
        <f t="shared" si="1"/>
        <v>1083031.6400000001</v>
      </c>
      <c r="L40" s="174">
        <f>SUM(L28:L39)</f>
        <v>5014010</v>
      </c>
      <c r="M40" s="109">
        <v>10492358.970000001</v>
      </c>
    </row>
    <row r="41" spans="1:14" ht="18" customHeight="1">
      <c r="A41" s="70" t="s">
        <v>93</v>
      </c>
      <c r="B41" s="72"/>
      <c r="C41" s="72"/>
      <c r="D41" s="80"/>
      <c r="E41" s="120">
        <f>E20-E38</f>
        <v>10335297.009199999</v>
      </c>
      <c r="F41" s="120">
        <f t="shared" ref="F41:J41" si="7">F20-F38</f>
        <v>19927363.114799999</v>
      </c>
      <c r="G41" s="120">
        <f t="shared" si="7"/>
        <v>0</v>
      </c>
      <c r="H41" s="120">
        <f t="shared" si="7"/>
        <v>10140</v>
      </c>
      <c r="I41" s="120">
        <f t="shared" si="7"/>
        <v>0</v>
      </c>
      <c r="J41" s="120">
        <f t="shared" si="7"/>
        <v>30272800.123999998</v>
      </c>
      <c r="K41" s="166">
        <f>SUM(E41:I41)</f>
        <v>30272800.123999998</v>
      </c>
      <c r="L41" s="46"/>
      <c r="M41" s="109">
        <f>M40-L40</f>
        <v>5478348.9700000007</v>
      </c>
    </row>
    <row r="42" spans="1:14" ht="18" customHeight="1">
      <c r="A42" s="55"/>
      <c r="B42" s="55"/>
      <c r="C42" s="55"/>
      <c r="D42" s="55"/>
      <c r="E42" s="55"/>
      <c r="F42" s="55"/>
      <c r="G42" s="55"/>
      <c r="H42" s="55"/>
      <c r="I42" s="55"/>
      <c r="J42" s="115" t="s">
        <v>74</v>
      </c>
      <c r="K42" s="92">
        <f>SUM(E41:F41)</f>
        <v>30262660.123999998</v>
      </c>
      <c r="M42" s="109">
        <v>0</v>
      </c>
    </row>
    <row r="43" spans="1:14" ht="18" customHeight="1">
      <c r="A43" s="55"/>
      <c r="B43" s="55"/>
      <c r="C43" s="55"/>
      <c r="D43" s="55"/>
      <c r="E43" s="55"/>
      <c r="F43" s="55"/>
      <c r="G43" s="55"/>
      <c r="H43" s="92"/>
      <c r="I43" s="55"/>
      <c r="J43" s="115"/>
      <c r="K43" s="55"/>
      <c r="M43" s="109">
        <v>289860</v>
      </c>
    </row>
    <row r="44" spans="1:14" ht="18" customHeight="1">
      <c r="A44" s="55"/>
      <c r="B44" s="55"/>
      <c r="C44" s="55"/>
      <c r="D44" s="55"/>
      <c r="E44" s="55"/>
      <c r="F44" s="55"/>
      <c r="G44" s="55"/>
      <c r="H44" s="55"/>
      <c r="I44" s="55"/>
      <c r="J44" s="115"/>
      <c r="K44" s="92">
        <f>SUM(E40:F40)</f>
        <v>1083031.6400000001</v>
      </c>
      <c r="M44" s="109">
        <f>SUM(M41:M43)</f>
        <v>5768208.9700000007</v>
      </c>
      <c r="N44" s="173">
        <f>SUM(L40+M44)</f>
        <v>10782218.970000001</v>
      </c>
    </row>
    <row r="45" spans="1:14">
      <c r="A45" s="55" t="s">
        <v>83</v>
      </c>
      <c r="B45" s="55"/>
      <c r="C45" s="55"/>
      <c r="D45" s="55"/>
      <c r="E45" s="55"/>
      <c r="F45" s="55"/>
      <c r="G45" s="55"/>
      <c r="H45" s="55" t="s">
        <v>29</v>
      </c>
      <c r="I45" s="55"/>
      <c r="J45" s="115"/>
      <c r="K45" s="55"/>
      <c r="L45" s="109">
        <v>752760</v>
      </c>
    </row>
    <row r="46" spans="1:14">
      <c r="A46" s="55"/>
      <c r="B46" s="55"/>
      <c r="C46" s="55"/>
      <c r="D46" s="55"/>
      <c r="E46" s="55"/>
      <c r="F46" s="55"/>
      <c r="G46" s="55"/>
      <c r="H46" s="55"/>
      <c r="I46" s="55"/>
      <c r="J46" s="115"/>
      <c r="K46" s="55"/>
      <c r="L46" s="109">
        <v>902075</v>
      </c>
    </row>
    <row r="47" spans="1:14">
      <c r="A47" s="55"/>
      <c r="B47" s="55"/>
      <c r="C47" s="55"/>
      <c r="D47" s="55"/>
      <c r="E47" s="55"/>
      <c r="F47" s="55"/>
      <c r="G47" s="55"/>
      <c r="H47" s="172"/>
      <c r="I47" s="55"/>
      <c r="J47" s="115"/>
      <c r="K47" s="55"/>
      <c r="L47" s="109">
        <v>1032329.7</v>
      </c>
      <c r="M47" s="109">
        <v>1897753.11</v>
      </c>
    </row>
    <row r="48" spans="1:14">
      <c r="A48" s="55" t="s">
        <v>84</v>
      </c>
      <c r="B48" s="55"/>
      <c r="C48" s="55"/>
      <c r="D48" s="55"/>
      <c r="E48" s="55"/>
      <c r="F48" s="55"/>
      <c r="G48" s="55"/>
      <c r="H48" s="140" t="s">
        <v>72</v>
      </c>
      <c r="I48" s="55"/>
      <c r="J48" s="115"/>
      <c r="K48" s="55"/>
      <c r="L48" s="109">
        <v>504234.65</v>
      </c>
      <c r="M48" s="109">
        <v>8736531.7100000009</v>
      </c>
    </row>
    <row r="49" spans="1:13">
      <c r="A49" s="140" t="s">
        <v>86</v>
      </c>
      <c r="B49" s="55"/>
      <c r="C49" s="55"/>
      <c r="D49" s="55"/>
      <c r="E49" s="55"/>
      <c r="F49" s="55"/>
      <c r="G49" s="55"/>
      <c r="H49" s="140" t="s">
        <v>85</v>
      </c>
      <c r="I49" s="55"/>
      <c r="J49" s="115"/>
      <c r="K49" s="55"/>
      <c r="L49" s="109">
        <v>899145</v>
      </c>
      <c r="M49" s="109">
        <v>10140</v>
      </c>
    </row>
    <row r="50" spans="1:13">
      <c r="A50" s="55"/>
      <c r="B50" s="55"/>
      <c r="C50" s="55"/>
      <c r="D50" s="55"/>
      <c r="E50" s="121"/>
      <c r="F50" s="55"/>
      <c r="G50" s="55"/>
      <c r="H50" s="55"/>
      <c r="I50" s="55"/>
      <c r="J50" s="115"/>
      <c r="K50" s="55"/>
      <c r="L50" s="109">
        <v>1087927.3999999999</v>
      </c>
      <c r="M50" s="109">
        <f>SUM(M47:M49)</f>
        <v>10644424.82</v>
      </c>
    </row>
    <row r="51" spans="1:13">
      <c r="A51" s="55"/>
      <c r="B51" s="55"/>
      <c r="C51" s="55"/>
      <c r="D51" s="55"/>
      <c r="E51" s="115"/>
      <c r="F51" s="55"/>
      <c r="G51" s="55"/>
      <c r="H51" s="55"/>
      <c r="I51" s="115"/>
      <c r="J51" s="115"/>
      <c r="K51" s="55"/>
      <c r="L51" s="109">
        <v>2896515.5</v>
      </c>
    </row>
    <row r="52" spans="1:13">
      <c r="A52" s="55"/>
      <c r="B52" s="55"/>
      <c r="C52" s="55"/>
      <c r="D52" s="55"/>
      <c r="E52" s="55"/>
      <c r="F52" s="55"/>
      <c r="G52" s="55"/>
      <c r="H52" s="55"/>
      <c r="I52" s="115"/>
      <c r="J52" s="115"/>
      <c r="K52" s="55"/>
      <c r="L52" s="109">
        <v>120000</v>
      </c>
    </row>
    <row r="53" spans="1:13">
      <c r="I53" s="109"/>
      <c r="M53" s="46"/>
    </row>
    <row r="54" spans="1:13">
      <c r="F54" s="121">
        <f>F18-F55</f>
        <v>-1068555.9848</v>
      </c>
      <c r="I54" s="109"/>
      <c r="K54" s="55"/>
      <c r="L54" s="115">
        <v>630000</v>
      </c>
      <c r="M54" s="183">
        <v>10644424.82</v>
      </c>
    </row>
    <row r="55" spans="1:13">
      <c r="F55" s="115">
        <f>49980+103610+255752.8+265335+81917.75+32889+315132+287135.25+143400+640002.5</f>
        <v>2175154.2999999998</v>
      </c>
      <c r="I55" s="109"/>
      <c r="J55" s="109">
        <v>7850000</v>
      </c>
      <c r="L55" s="109">
        <v>1000000</v>
      </c>
      <c r="M55" s="183">
        <v>13157941.960000001</v>
      </c>
    </row>
    <row r="56" spans="1:13">
      <c r="I56" s="109"/>
      <c r="J56" s="109">
        <v>800000</v>
      </c>
      <c r="L56" s="109">
        <v>1300000</v>
      </c>
      <c r="M56" s="184">
        <v>0</v>
      </c>
    </row>
    <row r="57" spans="1:13">
      <c r="I57" s="109"/>
      <c r="J57" s="109">
        <v>1200000</v>
      </c>
      <c r="L57" s="109">
        <v>2000000</v>
      </c>
      <c r="M57" s="183">
        <f>SUM(M54:M56)</f>
        <v>23802366.780000001</v>
      </c>
    </row>
    <row r="58" spans="1:13">
      <c r="I58" s="109"/>
      <c r="J58" s="109">
        <v>3500000</v>
      </c>
      <c r="L58" s="109">
        <v>150000</v>
      </c>
      <c r="M58" s="183">
        <v>24092226.780000001</v>
      </c>
    </row>
    <row r="59" spans="1:13">
      <c r="I59" s="109">
        <v>100000</v>
      </c>
      <c r="J59" s="116">
        <f>SUM(J55:J58)</f>
        <v>13350000</v>
      </c>
      <c r="L59" s="109">
        <v>4590281.96</v>
      </c>
      <c r="M59" s="183">
        <f>M58-M57</f>
        <v>289860</v>
      </c>
    </row>
    <row r="60" spans="1:13">
      <c r="I60" s="109">
        <v>4589687.1100000003</v>
      </c>
      <c r="J60" s="109">
        <v>16829861.079999998</v>
      </c>
      <c r="L60" s="109">
        <f>SUM(L54:L59)</f>
        <v>9670281.9600000009</v>
      </c>
      <c r="M60" s="46"/>
    </row>
    <row r="61" spans="1:13">
      <c r="I61" s="116">
        <f>SUM(I55:I60)</f>
        <v>4689687.1100000003</v>
      </c>
      <c r="J61" s="109">
        <f>J59-J60</f>
        <v>-3479861.0799999982</v>
      </c>
      <c r="M61" s="109">
        <v>24416573.030000001</v>
      </c>
    </row>
    <row r="62" spans="1:13">
      <c r="I62" s="109">
        <v>7212797.6100000003</v>
      </c>
      <c r="M62" s="109">
        <v>24708913.030000001</v>
      </c>
    </row>
    <row r="63" spans="1:13">
      <c r="I63" s="109">
        <f>I61-I62</f>
        <v>-2523110.5</v>
      </c>
      <c r="M63" s="109">
        <f>M61-M62</f>
        <v>-292340</v>
      </c>
    </row>
    <row r="64" spans="1:13">
      <c r="I64" s="109"/>
      <c r="M64" s="109">
        <v>289860</v>
      </c>
    </row>
    <row r="65" spans="1:13">
      <c r="I65" s="109"/>
      <c r="J65" s="109">
        <v>25346381.800000001</v>
      </c>
      <c r="M65" s="173">
        <f>SUM(M63:M64)</f>
        <v>-2480</v>
      </c>
    </row>
    <row r="66" spans="1:13">
      <c r="I66" s="109"/>
      <c r="J66" s="109">
        <v>24042658.690000001</v>
      </c>
      <c r="M66" s="46"/>
    </row>
    <row r="67" spans="1:13">
      <c r="I67" s="109"/>
      <c r="J67" s="109">
        <f>J65-J66</f>
        <v>1303723.1099999994</v>
      </c>
      <c r="L67" s="109">
        <v>400000</v>
      </c>
      <c r="M67" s="46"/>
    </row>
    <row r="68" spans="1:13">
      <c r="I68" s="109"/>
      <c r="L68" s="109">
        <v>1000000</v>
      </c>
      <c r="M68" s="109">
        <v>25279.7</v>
      </c>
    </row>
    <row r="69" spans="1:13">
      <c r="I69" s="109"/>
      <c r="M69" s="109">
        <v>27759.7</v>
      </c>
    </row>
    <row r="70" spans="1:13">
      <c r="H70" s="109"/>
      <c r="I70" s="109"/>
      <c r="M70" s="173">
        <f>M68-M69</f>
        <v>-2480</v>
      </c>
    </row>
    <row r="71" spans="1:13">
      <c r="H71" s="109">
        <v>4455551.57</v>
      </c>
      <c r="I71" s="109"/>
      <c r="J71" s="109">
        <v>17496381.800000001</v>
      </c>
      <c r="M71" s="46"/>
    </row>
    <row r="72" spans="1:13">
      <c r="H72" s="109">
        <v>5760963.6399999997</v>
      </c>
      <c r="I72" s="109"/>
      <c r="J72" s="109">
        <v>7850000</v>
      </c>
      <c r="M72" s="46"/>
    </row>
    <row r="73" spans="1:13">
      <c r="H73" s="109">
        <f>SUM(H71:H72)</f>
        <v>10216515.210000001</v>
      </c>
      <c r="I73" s="109"/>
      <c r="J73" s="109">
        <f>SUM(J71:J72)</f>
        <v>25346381.800000001</v>
      </c>
      <c r="M73" s="46"/>
    </row>
    <row r="74" spans="1:13" s="109" customFormat="1">
      <c r="A74" s="46"/>
      <c r="B74" s="46"/>
      <c r="C74" s="46"/>
      <c r="D74" s="46"/>
      <c r="E74" s="46"/>
      <c r="F74" s="46"/>
      <c r="G74" s="46"/>
    </row>
    <row r="75" spans="1:13" s="109" customFormat="1">
      <c r="A75" s="46"/>
      <c r="B75" s="46"/>
      <c r="C75" s="46"/>
      <c r="D75" s="46"/>
      <c r="E75" s="46"/>
      <c r="F75" s="46"/>
      <c r="G75" s="46"/>
    </row>
    <row r="76" spans="1:13" s="109" customFormat="1">
      <c r="A76" s="46"/>
      <c r="B76" s="46"/>
      <c r="C76" s="46"/>
      <c r="D76" s="46"/>
      <c r="E76" s="46"/>
      <c r="F76" s="46"/>
      <c r="G76" s="46"/>
    </row>
    <row r="77" spans="1:13" s="109" customFormat="1">
      <c r="A77" s="46"/>
      <c r="B77" s="46"/>
      <c r="C77" s="46"/>
      <c r="D77" s="46"/>
      <c r="E77" s="46"/>
      <c r="F77" s="46"/>
      <c r="G77" s="46"/>
    </row>
    <row r="78" spans="1:13" s="109" customFormat="1">
      <c r="A78" s="46"/>
      <c r="B78" s="46"/>
      <c r="C78" s="46"/>
      <c r="D78" s="46"/>
      <c r="E78" s="46"/>
      <c r="F78" s="46"/>
      <c r="G78" s="46"/>
    </row>
    <row r="79" spans="1:13" s="109" customFormat="1">
      <c r="A79" s="46"/>
      <c r="B79" s="46"/>
      <c r="C79" s="46"/>
      <c r="D79" s="46"/>
      <c r="E79" s="46"/>
      <c r="F79" s="46"/>
      <c r="G79" s="46"/>
    </row>
    <row r="80" spans="1:13" s="109" customFormat="1">
      <c r="A80" s="46"/>
      <c r="B80" s="46"/>
      <c r="C80" s="46"/>
      <c r="D80" s="46"/>
      <c r="E80" s="46"/>
      <c r="F80" s="46"/>
      <c r="G80" s="46"/>
      <c r="H80" s="46"/>
    </row>
    <row r="81" spans="1:11" s="109" customFormat="1">
      <c r="A81" s="46"/>
      <c r="B81" s="46"/>
      <c r="C81" s="46"/>
      <c r="D81" s="46"/>
      <c r="E81" s="46"/>
      <c r="F81" s="46"/>
      <c r="G81" s="46"/>
      <c r="H81" s="46"/>
    </row>
    <row r="82" spans="1:11" s="109" customFormat="1">
      <c r="A82" s="46"/>
      <c r="B82" s="46"/>
      <c r="C82" s="46"/>
      <c r="D82" s="46"/>
      <c r="E82" s="46"/>
      <c r="F82" s="46"/>
      <c r="G82" s="46"/>
      <c r="H82" s="46"/>
    </row>
    <row r="83" spans="1:11" s="109" customFormat="1">
      <c r="A83" s="46"/>
      <c r="B83" s="46"/>
      <c r="C83" s="46"/>
      <c r="D83" s="46"/>
      <c r="E83" s="46"/>
      <c r="F83" s="46"/>
      <c r="G83" s="46"/>
      <c r="H83" s="46"/>
    </row>
    <row r="84" spans="1:11" s="109" customFormat="1">
      <c r="A84" s="46"/>
      <c r="B84" s="46"/>
      <c r="C84" s="46"/>
      <c r="D84" s="46"/>
      <c r="E84" s="46"/>
      <c r="F84" s="46"/>
      <c r="G84" s="46"/>
      <c r="H84" s="46"/>
      <c r="K84" s="46"/>
    </row>
    <row r="85" spans="1:11" s="109" customFormat="1">
      <c r="A85" s="46"/>
      <c r="B85" s="46"/>
      <c r="C85" s="46"/>
      <c r="D85" s="46"/>
      <c r="E85" s="46"/>
      <c r="F85" s="46"/>
      <c r="G85" s="46"/>
      <c r="H85" s="46"/>
      <c r="K85" s="46"/>
    </row>
    <row r="86" spans="1:11" s="109" customFormat="1">
      <c r="A86" s="46"/>
      <c r="B86" s="46"/>
      <c r="C86" s="46"/>
      <c r="D86" s="46"/>
      <c r="E86" s="46"/>
      <c r="F86" s="46"/>
      <c r="G86" s="46"/>
      <c r="H86" s="46"/>
      <c r="K86" s="46"/>
    </row>
    <row r="87" spans="1:11" s="109" customFormat="1">
      <c r="A87" s="46"/>
      <c r="B87" s="46"/>
      <c r="C87" s="46"/>
      <c r="D87" s="46"/>
      <c r="E87" s="46"/>
      <c r="F87" s="46"/>
      <c r="G87" s="46"/>
      <c r="H87" s="46"/>
      <c r="K87" s="46"/>
    </row>
    <row r="88" spans="1:11" s="109" customFormat="1">
      <c r="A88" s="46"/>
      <c r="B88" s="46"/>
      <c r="C88" s="46"/>
      <c r="D88" s="46"/>
      <c r="E88" s="46"/>
      <c r="F88" s="46"/>
      <c r="G88" s="46"/>
      <c r="H88" s="46"/>
      <c r="K88" s="46"/>
    </row>
    <row r="89" spans="1:11" s="109" customFormat="1">
      <c r="A89" s="46"/>
      <c r="B89" s="46"/>
      <c r="C89" s="46"/>
      <c r="D89" s="46"/>
      <c r="E89" s="46"/>
      <c r="F89" s="46"/>
      <c r="G89" s="46"/>
      <c r="H89" s="46"/>
      <c r="K89" s="46"/>
    </row>
    <row r="90" spans="1:11" s="109" customFormat="1">
      <c r="A90" s="46"/>
      <c r="B90" s="46"/>
      <c r="C90" s="46"/>
      <c r="D90" s="46"/>
      <c r="E90" s="46"/>
      <c r="F90" s="46"/>
      <c r="G90" s="46"/>
      <c r="H90" s="46"/>
      <c r="K90" s="46"/>
    </row>
    <row r="91" spans="1:11" s="109" customFormat="1">
      <c r="A91" s="46"/>
      <c r="B91" s="46"/>
      <c r="C91" s="46"/>
      <c r="D91" s="46"/>
      <c r="E91" s="46"/>
      <c r="F91" s="46"/>
      <c r="G91" s="46"/>
      <c r="H91" s="46"/>
      <c r="K91" s="46"/>
    </row>
    <row r="92" spans="1:11" s="109" customFormat="1">
      <c r="A92" s="46"/>
      <c r="B92" s="46"/>
      <c r="C92" s="46"/>
      <c r="D92" s="46"/>
      <c r="E92" s="46"/>
      <c r="F92" s="46"/>
      <c r="G92" s="46"/>
      <c r="H92" s="46"/>
      <c r="K92" s="46"/>
    </row>
    <row r="93" spans="1:11" s="109" customFormat="1">
      <c r="A93" s="46"/>
      <c r="B93" s="46"/>
      <c r="C93" s="46"/>
      <c r="D93" s="46"/>
      <c r="E93" s="46"/>
      <c r="F93" s="46"/>
      <c r="G93" s="46"/>
      <c r="H93" s="46"/>
      <c r="K93" s="46"/>
    </row>
    <row r="94" spans="1:11" s="109" customFormat="1">
      <c r="A94" s="46"/>
      <c r="B94" s="46"/>
      <c r="C94" s="46"/>
      <c r="D94" s="46"/>
      <c r="E94" s="46"/>
      <c r="F94" s="46"/>
      <c r="G94" s="46"/>
      <c r="H94" s="46"/>
      <c r="K94" s="46"/>
    </row>
    <row r="95" spans="1:11" s="109" customFormat="1">
      <c r="A95" s="46"/>
      <c r="B95" s="46"/>
      <c r="C95" s="46"/>
      <c r="D95" s="46"/>
      <c r="E95" s="46"/>
      <c r="F95" s="46"/>
      <c r="G95" s="46"/>
      <c r="H95" s="46"/>
      <c r="K95" s="46"/>
    </row>
    <row r="96" spans="1:11" s="109" customFormat="1">
      <c r="A96" s="46"/>
      <c r="B96" s="46"/>
      <c r="C96" s="46"/>
      <c r="D96" s="46"/>
      <c r="E96" s="46"/>
      <c r="F96" s="46"/>
      <c r="G96" s="46"/>
      <c r="H96" s="46"/>
      <c r="K96" s="46"/>
    </row>
    <row r="97" spans="1:11" s="109" customFormat="1">
      <c r="A97" s="46"/>
      <c r="B97" s="46"/>
      <c r="C97" s="46"/>
      <c r="D97" s="46"/>
      <c r="E97" s="46"/>
      <c r="F97" s="46"/>
      <c r="G97" s="46"/>
      <c r="H97" s="46"/>
      <c r="K97" s="46"/>
    </row>
    <row r="98" spans="1:11" s="109" customFormat="1">
      <c r="A98" s="46"/>
      <c r="B98" s="46"/>
      <c r="C98" s="46"/>
      <c r="D98" s="46"/>
      <c r="E98" s="46"/>
      <c r="F98" s="46"/>
      <c r="G98" s="46"/>
      <c r="H98" s="46"/>
      <c r="K98" s="46"/>
    </row>
    <row r="99" spans="1:11" s="109" customFormat="1">
      <c r="A99" s="46"/>
      <c r="B99" s="46"/>
      <c r="C99" s="46"/>
      <c r="D99" s="46"/>
      <c r="E99" s="46"/>
      <c r="F99" s="46"/>
      <c r="G99" s="46"/>
      <c r="H99" s="46"/>
      <c r="K99" s="46"/>
    </row>
    <row r="100" spans="1:11" s="109" customFormat="1">
      <c r="A100" s="46"/>
      <c r="B100" s="46"/>
      <c r="C100" s="46"/>
      <c r="D100" s="46"/>
      <c r="E100" s="46"/>
      <c r="F100" s="46"/>
      <c r="G100" s="46"/>
      <c r="H100" s="46"/>
      <c r="K100" s="46"/>
    </row>
    <row r="101" spans="1:11" s="109" customFormat="1">
      <c r="A101" s="46"/>
      <c r="B101" s="46"/>
      <c r="C101" s="46"/>
      <c r="D101" s="46"/>
      <c r="E101" s="46"/>
      <c r="F101" s="46"/>
      <c r="G101" s="46"/>
      <c r="H101" s="46"/>
      <c r="K101" s="46"/>
    </row>
    <row r="102" spans="1:11" s="109" customFormat="1">
      <c r="A102" s="46"/>
      <c r="B102" s="46"/>
      <c r="C102" s="46"/>
      <c r="D102" s="46"/>
      <c r="E102" s="46"/>
      <c r="F102" s="46"/>
      <c r="G102" s="46"/>
      <c r="H102" s="46"/>
      <c r="K102" s="46"/>
    </row>
    <row r="103" spans="1:11" s="109" customFormat="1">
      <c r="A103" s="46"/>
      <c r="B103" s="46"/>
      <c r="C103" s="46"/>
      <c r="D103" s="46"/>
      <c r="E103" s="46"/>
      <c r="F103" s="46"/>
      <c r="G103" s="46"/>
      <c r="H103" s="46"/>
      <c r="K103" s="46"/>
    </row>
    <row r="104" spans="1:11" s="109" customFormat="1">
      <c r="A104" s="46"/>
      <c r="B104" s="46"/>
      <c r="C104" s="46"/>
      <c r="D104" s="46"/>
      <c r="E104" s="46"/>
      <c r="F104" s="46"/>
      <c r="G104" s="46"/>
      <c r="H104" s="46"/>
      <c r="K104" s="46"/>
    </row>
    <row r="105" spans="1:11" s="109" customFormat="1">
      <c r="A105" s="46"/>
      <c r="B105" s="46"/>
      <c r="C105" s="46"/>
      <c r="D105" s="46"/>
      <c r="E105" s="46"/>
      <c r="F105" s="46"/>
      <c r="G105" s="46"/>
      <c r="H105" s="46"/>
      <c r="K105" s="46"/>
    </row>
    <row r="106" spans="1:11" s="109" customFormat="1">
      <c r="A106" s="46"/>
      <c r="B106" s="46"/>
      <c r="C106" s="46"/>
      <c r="D106" s="46"/>
      <c r="E106" s="46"/>
      <c r="F106" s="46"/>
      <c r="G106" s="46"/>
      <c r="H106" s="46"/>
      <c r="K106" s="46"/>
    </row>
    <row r="107" spans="1:11" s="109" customFormat="1">
      <c r="A107" s="46"/>
      <c r="B107" s="46"/>
      <c r="C107" s="46"/>
      <c r="D107" s="46"/>
      <c r="E107" s="46"/>
      <c r="F107" s="46"/>
      <c r="G107" s="46"/>
      <c r="H107" s="46"/>
      <c r="K107" s="46"/>
    </row>
    <row r="108" spans="1:11" s="109" customFormat="1">
      <c r="A108" s="46"/>
      <c r="B108" s="46"/>
      <c r="C108" s="46"/>
      <c r="D108" s="46"/>
      <c r="E108" s="46"/>
      <c r="F108" s="46"/>
      <c r="G108" s="46"/>
      <c r="H108" s="46"/>
      <c r="K108" s="46"/>
    </row>
    <row r="109" spans="1:11" s="109" customFormat="1">
      <c r="A109" s="46"/>
      <c r="B109" s="46"/>
      <c r="C109" s="46"/>
      <c r="D109" s="46"/>
      <c r="E109" s="46"/>
      <c r="F109" s="46"/>
      <c r="G109" s="46"/>
      <c r="H109" s="46"/>
      <c r="K109" s="46"/>
    </row>
    <row r="110" spans="1:11" s="109" customFormat="1">
      <c r="A110" s="46"/>
      <c r="B110" s="46"/>
      <c r="C110" s="46"/>
      <c r="D110" s="46"/>
      <c r="E110" s="46"/>
      <c r="F110" s="46"/>
      <c r="G110" s="46"/>
      <c r="H110" s="46"/>
      <c r="K110" s="46"/>
    </row>
    <row r="111" spans="1:11" s="109" customFormat="1">
      <c r="A111" s="46"/>
      <c r="B111" s="46"/>
      <c r="C111" s="46"/>
      <c r="D111" s="46"/>
      <c r="E111" s="46"/>
      <c r="F111" s="46"/>
      <c r="G111" s="46"/>
      <c r="H111" s="46"/>
      <c r="K111" s="46"/>
    </row>
    <row r="112" spans="1:11" s="109" customFormat="1">
      <c r="A112" s="46"/>
      <c r="B112" s="46"/>
      <c r="C112" s="46"/>
      <c r="D112" s="46"/>
      <c r="E112" s="46"/>
      <c r="F112" s="46"/>
      <c r="G112" s="46"/>
      <c r="H112" s="46"/>
      <c r="K112" s="46"/>
    </row>
    <row r="113" spans="1:11" s="109" customFormat="1">
      <c r="A113" s="46"/>
      <c r="B113" s="46"/>
      <c r="C113" s="46"/>
      <c r="D113" s="46"/>
      <c r="E113" s="46"/>
      <c r="F113" s="46"/>
      <c r="G113" s="46"/>
      <c r="H113" s="46"/>
      <c r="K113" s="46"/>
    </row>
    <row r="114" spans="1:11" s="109" customFormat="1">
      <c r="A114" s="46"/>
      <c r="B114" s="46"/>
      <c r="C114" s="46"/>
      <c r="D114" s="46"/>
      <c r="E114" s="46"/>
      <c r="F114" s="46"/>
      <c r="G114" s="46"/>
      <c r="H114" s="46"/>
      <c r="K114" s="46"/>
    </row>
    <row r="115" spans="1:11" s="109" customFormat="1">
      <c r="A115" s="46"/>
      <c r="B115" s="46"/>
      <c r="C115" s="46"/>
      <c r="D115" s="46"/>
      <c r="E115" s="46"/>
      <c r="F115" s="46"/>
      <c r="G115" s="46"/>
      <c r="H115" s="46"/>
      <c r="K115" s="46"/>
    </row>
    <row r="116" spans="1:11" s="109" customFormat="1">
      <c r="A116" s="46"/>
      <c r="B116" s="46"/>
      <c r="C116" s="46"/>
      <c r="D116" s="46"/>
      <c r="E116" s="46"/>
      <c r="F116" s="46"/>
      <c r="G116" s="46"/>
      <c r="H116" s="46"/>
      <c r="K116" s="46"/>
    </row>
    <row r="117" spans="1:11" s="109" customFormat="1">
      <c r="A117" s="46"/>
      <c r="B117" s="46"/>
      <c r="C117" s="46"/>
      <c r="D117" s="46"/>
      <c r="E117" s="46"/>
      <c r="F117" s="46"/>
      <c r="G117" s="46"/>
      <c r="H117" s="46"/>
      <c r="K117" s="46"/>
    </row>
    <row r="118" spans="1:11" s="109" customFormat="1">
      <c r="A118" s="46"/>
      <c r="B118" s="46"/>
      <c r="C118" s="46"/>
      <c r="D118" s="46"/>
      <c r="E118" s="46"/>
      <c r="F118" s="46"/>
      <c r="G118" s="46"/>
      <c r="H118" s="46"/>
      <c r="K118" s="46"/>
    </row>
    <row r="119" spans="1:11" s="109" customFormat="1">
      <c r="A119" s="46"/>
      <c r="B119" s="46"/>
      <c r="C119" s="46"/>
      <c r="D119" s="46"/>
      <c r="E119" s="46"/>
      <c r="F119" s="46"/>
      <c r="G119" s="46"/>
      <c r="H119" s="46"/>
      <c r="K119" s="46"/>
    </row>
    <row r="120" spans="1:11" s="109" customFormat="1">
      <c r="A120" s="46"/>
      <c r="B120" s="46"/>
      <c r="C120" s="46"/>
      <c r="D120" s="46"/>
      <c r="E120" s="46"/>
      <c r="F120" s="46"/>
      <c r="G120" s="46"/>
      <c r="H120" s="46"/>
      <c r="K120" s="46"/>
    </row>
    <row r="121" spans="1:11" s="109" customFormat="1">
      <c r="A121" s="46"/>
      <c r="B121" s="46"/>
      <c r="C121" s="46"/>
      <c r="D121" s="46"/>
      <c r="E121" s="46"/>
      <c r="F121" s="46"/>
      <c r="G121" s="46"/>
      <c r="H121" s="46"/>
      <c r="K121" s="46"/>
    </row>
    <row r="122" spans="1:11" s="109" customFormat="1">
      <c r="A122" s="46"/>
      <c r="B122" s="46"/>
      <c r="C122" s="46"/>
      <c r="D122" s="46"/>
      <c r="E122" s="46"/>
      <c r="F122" s="46"/>
      <c r="G122" s="46"/>
      <c r="H122" s="46"/>
      <c r="K122" s="46"/>
    </row>
    <row r="123" spans="1:11" s="109" customFormat="1">
      <c r="A123" s="46"/>
      <c r="B123" s="46"/>
      <c r="C123" s="46"/>
      <c r="D123" s="46"/>
      <c r="E123" s="46"/>
      <c r="F123" s="46"/>
      <c r="G123" s="46"/>
      <c r="H123" s="46"/>
      <c r="K123" s="46"/>
    </row>
    <row r="124" spans="1:11" s="109" customFormat="1">
      <c r="A124" s="46"/>
      <c r="B124" s="46"/>
      <c r="C124" s="46"/>
      <c r="D124" s="46"/>
      <c r="E124" s="46"/>
      <c r="F124" s="46"/>
      <c r="G124" s="46"/>
      <c r="H124" s="46"/>
      <c r="K124" s="46"/>
    </row>
    <row r="125" spans="1:11" s="109" customFormat="1">
      <c r="A125" s="46"/>
      <c r="B125" s="46"/>
      <c r="C125" s="46"/>
      <c r="D125" s="46"/>
      <c r="E125" s="46"/>
      <c r="F125" s="46"/>
      <c r="G125" s="46"/>
      <c r="H125" s="46"/>
      <c r="K125" s="46"/>
    </row>
    <row r="126" spans="1:11" s="109" customFormat="1">
      <c r="A126" s="46"/>
      <c r="B126" s="46"/>
      <c r="C126" s="46"/>
      <c r="D126" s="46"/>
      <c r="E126" s="46"/>
      <c r="F126" s="46"/>
      <c r="G126" s="46"/>
      <c r="H126" s="46"/>
      <c r="K126" s="46"/>
    </row>
    <row r="127" spans="1:11" s="109" customFormat="1">
      <c r="A127" s="46"/>
      <c r="B127" s="46"/>
      <c r="C127" s="46"/>
      <c r="D127" s="46"/>
      <c r="E127" s="46"/>
      <c r="F127" s="46"/>
      <c r="G127" s="46"/>
      <c r="H127" s="46"/>
      <c r="K127" s="46"/>
    </row>
    <row r="128" spans="1:11" s="109" customFormat="1">
      <c r="A128" s="46"/>
      <c r="B128" s="46"/>
      <c r="C128" s="46"/>
      <c r="D128" s="46"/>
      <c r="E128" s="46"/>
      <c r="F128" s="46"/>
      <c r="G128" s="46"/>
      <c r="H128" s="46"/>
      <c r="K128" s="46"/>
    </row>
    <row r="129" spans="1:11" s="109" customFormat="1">
      <c r="A129" s="46"/>
      <c r="B129" s="46"/>
      <c r="C129" s="46"/>
      <c r="D129" s="46"/>
      <c r="E129" s="46"/>
      <c r="F129" s="46"/>
      <c r="G129" s="46"/>
      <c r="H129" s="46"/>
      <c r="K129" s="46"/>
    </row>
    <row r="130" spans="1:11" s="109" customFormat="1">
      <c r="A130" s="46"/>
      <c r="B130" s="46"/>
      <c r="C130" s="46"/>
      <c r="D130" s="46"/>
      <c r="E130" s="46"/>
      <c r="F130" s="46"/>
      <c r="G130" s="46"/>
      <c r="H130" s="46"/>
      <c r="K130" s="46"/>
    </row>
    <row r="131" spans="1:11" s="109" customFormat="1">
      <c r="A131" s="46"/>
      <c r="B131" s="46"/>
      <c r="C131" s="46"/>
      <c r="D131" s="46"/>
      <c r="E131" s="46"/>
      <c r="F131" s="46"/>
      <c r="G131" s="46"/>
      <c r="H131" s="46"/>
      <c r="K131" s="46"/>
    </row>
    <row r="132" spans="1:11" s="109" customFormat="1">
      <c r="A132" s="46"/>
      <c r="B132" s="46"/>
      <c r="C132" s="46"/>
      <c r="D132" s="46"/>
      <c r="E132" s="46"/>
      <c r="F132" s="46"/>
      <c r="G132" s="46"/>
      <c r="H132" s="46"/>
      <c r="K132" s="46"/>
    </row>
    <row r="133" spans="1:11" s="109" customFormat="1">
      <c r="A133" s="46"/>
      <c r="B133" s="46"/>
      <c r="C133" s="46"/>
      <c r="D133" s="46"/>
      <c r="E133" s="46"/>
      <c r="F133" s="46"/>
      <c r="G133" s="46"/>
      <c r="H133" s="46"/>
      <c r="K133" s="46"/>
    </row>
    <row r="134" spans="1:11" s="109" customFormat="1">
      <c r="A134" s="46"/>
      <c r="B134" s="46"/>
      <c r="C134" s="46"/>
      <c r="D134" s="46"/>
      <c r="E134" s="46"/>
      <c r="F134" s="46"/>
      <c r="G134" s="46"/>
      <c r="H134" s="46"/>
      <c r="K134" s="46"/>
    </row>
    <row r="135" spans="1:11" s="109" customFormat="1">
      <c r="A135" s="46"/>
      <c r="B135" s="46"/>
      <c r="C135" s="46"/>
      <c r="D135" s="46"/>
      <c r="E135" s="46"/>
      <c r="F135" s="46"/>
      <c r="G135" s="46"/>
      <c r="H135" s="46"/>
      <c r="K135" s="46"/>
    </row>
    <row r="136" spans="1:11" s="109" customFormat="1">
      <c r="A136" s="46"/>
      <c r="B136" s="46"/>
      <c r="C136" s="46"/>
      <c r="D136" s="46"/>
      <c r="E136" s="46"/>
      <c r="F136" s="46"/>
      <c r="G136" s="46"/>
      <c r="H136" s="46"/>
      <c r="K136" s="46"/>
    </row>
    <row r="137" spans="1:11" s="109" customFormat="1">
      <c r="A137" s="46"/>
      <c r="B137" s="46"/>
      <c r="C137" s="46"/>
      <c r="D137" s="46"/>
      <c r="E137" s="46"/>
      <c r="F137" s="46"/>
      <c r="G137" s="46"/>
      <c r="H137" s="46"/>
      <c r="K137" s="46"/>
    </row>
    <row r="138" spans="1:11" s="109" customFormat="1">
      <c r="A138" s="46"/>
      <c r="B138" s="46"/>
      <c r="C138" s="46"/>
      <c r="D138" s="46"/>
      <c r="E138" s="46"/>
      <c r="F138" s="46"/>
      <c r="G138" s="46"/>
      <c r="H138" s="46"/>
      <c r="K138" s="46"/>
    </row>
    <row r="139" spans="1:11" s="109" customFormat="1">
      <c r="A139" s="46"/>
      <c r="B139" s="46"/>
      <c r="C139" s="46"/>
      <c r="D139" s="46"/>
      <c r="E139" s="46"/>
      <c r="F139" s="46"/>
      <c r="G139" s="46"/>
      <c r="H139" s="46"/>
      <c r="K139" s="46"/>
    </row>
    <row r="140" spans="1:11" s="109" customFormat="1">
      <c r="A140" s="46"/>
      <c r="B140" s="46"/>
      <c r="C140" s="46"/>
      <c r="D140" s="46"/>
      <c r="E140" s="46"/>
      <c r="F140" s="46"/>
      <c r="G140" s="46"/>
      <c r="H140" s="46"/>
      <c r="K140" s="46"/>
    </row>
    <row r="141" spans="1:11" s="109" customFormat="1">
      <c r="A141" s="46"/>
      <c r="B141" s="46"/>
      <c r="C141" s="46"/>
      <c r="D141" s="46"/>
      <c r="E141" s="46"/>
      <c r="F141" s="46"/>
      <c r="G141" s="46"/>
      <c r="H141" s="46"/>
      <c r="K141" s="46"/>
    </row>
    <row r="142" spans="1:11" s="109" customFormat="1">
      <c r="A142" s="46"/>
      <c r="B142" s="46"/>
      <c r="C142" s="46"/>
      <c r="D142" s="46"/>
      <c r="E142" s="46"/>
      <c r="F142" s="46"/>
      <c r="G142" s="46"/>
      <c r="H142" s="46"/>
      <c r="K142" s="46"/>
    </row>
    <row r="143" spans="1:11" s="109" customFormat="1">
      <c r="A143" s="46"/>
      <c r="B143" s="46"/>
      <c r="C143" s="46"/>
      <c r="D143" s="46"/>
      <c r="E143" s="46"/>
      <c r="F143" s="46"/>
      <c r="G143" s="46"/>
      <c r="H143" s="46"/>
      <c r="K143" s="46"/>
    </row>
    <row r="144" spans="1:11" s="109" customFormat="1">
      <c r="A144" s="46"/>
      <c r="B144" s="46"/>
      <c r="C144" s="46"/>
      <c r="D144" s="46"/>
      <c r="E144" s="46"/>
      <c r="F144" s="46"/>
      <c r="G144" s="46"/>
      <c r="H144" s="46"/>
      <c r="K144" s="46"/>
    </row>
    <row r="145" spans="1:11" s="109" customFormat="1">
      <c r="A145" s="46"/>
      <c r="B145" s="46"/>
      <c r="C145" s="46"/>
      <c r="D145" s="46"/>
      <c r="E145" s="46"/>
      <c r="F145" s="46"/>
      <c r="G145" s="46"/>
      <c r="H145" s="46"/>
      <c r="K145" s="46"/>
    </row>
    <row r="146" spans="1:11" s="109" customFormat="1">
      <c r="A146" s="46"/>
      <c r="B146" s="46"/>
      <c r="C146" s="46"/>
      <c r="D146" s="46"/>
      <c r="E146" s="46"/>
      <c r="F146" s="46"/>
      <c r="G146" s="46"/>
      <c r="H146" s="46"/>
      <c r="K146" s="46"/>
    </row>
    <row r="147" spans="1:11" s="109" customFormat="1">
      <c r="A147" s="46"/>
      <c r="B147" s="46"/>
      <c r="C147" s="46"/>
      <c r="D147" s="46"/>
      <c r="E147" s="46"/>
      <c r="F147" s="46"/>
      <c r="G147" s="46"/>
      <c r="H147" s="46"/>
      <c r="K147" s="46"/>
    </row>
    <row r="148" spans="1:11" s="109" customFormat="1">
      <c r="A148" s="46"/>
      <c r="B148" s="46"/>
      <c r="C148" s="46"/>
      <c r="D148" s="46"/>
      <c r="E148" s="46"/>
      <c r="F148" s="46"/>
      <c r="G148" s="46"/>
      <c r="H148" s="46"/>
      <c r="K148" s="46"/>
    </row>
    <row r="149" spans="1:11" s="109" customFormat="1">
      <c r="A149" s="46"/>
      <c r="B149" s="46"/>
      <c r="C149" s="46"/>
      <c r="D149" s="46"/>
      <c r="E149" s="46"/>
      <c r="F149" s="46"/>
      <c r="G149" s="46"/>
      <c r="H149" s="46"/>
      <c r="K149" s="46"/>
    </row>
    <row r="150" spans="1:11" s="109" customFormat="1">
      <c r="A150" s="46"/>
      <c r="B150" s="46"/>
      <c r="C150" s="46"/>
      <c r="D150" s="46"/>
      <c r="E150" s="46"/>
      <c r="F150" s="46"/>
      <c r="G150" s="46"/>
      <c r="H150" s="46"/>
      <c r="K150" s="46"/>
    </row>
    <row r="151" spans="1:11" s="109" customFormat="1">
      <c r="A151" s="46"/>
      <c r="B151" s="46"/>
      <c r="C151" s="46"/>
      <c r="D151" s="46"/>
      <c r="E151" s="46"/>
      <c r="F151" s="46"/>
      <c r="G151" s="46"/>
      <c r="H151" s="46"/>
      <c r="K151" s="46"/>
    </row>
    <row r="152" spans="1:11" s="109" customFormat="1">
      <c r="A152" s="46"/>
      <c r="B152" s="46"/>
      <c r="C152" s="46"/>
      <c r="D152" s="46"/>
      <c r="E152" s="46"/>
      <c r="F152" s="46"/>
      <c r="G152" s="46"/>
      <c r="H152" s="46"/>
      <c r="K152" s="46"/>
    </row>
    <row r="153" spans="1:11" s="109" customFormat="1">
      <c r="A153" s="46"/>
      <c r="B153" s="46"/>
      <c r="C153" s="46"/>
      <c r="D153" s="46"/>
      <c r="E153" s="46"/>
      <c r="F153" s="46"/>
      <c r="G153" s="46"/>
      <c r="H153" s="46"/>
      <c r="K153" s="46"/>
    </row>
    <row r="154" spans="1:11" s="109" customFormat="1">
      <c r="A154" s="46"/>
      <c r="B154" s="46"/>
      <c r="C154" s="46"/>
      <c r="D154" s="46"/>
      <c r="E154" s="46"/>
      <c r="F154" s="46"/>
      <c r="G154" s="46"/>
      <c r="H154" s="46"/>
      <c r="K154" s="46"/>
    </row>
    <row r="155" spans="1:11" s="109" customFormat="1">
      <c r="A155" s="46"/>
      <c r="B155" s="46"/>
      <c r="C155" s="46"/>
      <c r="D155" s="46"/>
      <c r="E155" s="46"/>
      <c r="F155" s="46"/>
      <c r="G155" s="46"/>
      <c r="H155" s="46"/>
      <c r="K155" s="46"/>
    </row>
    <row r="156" spans="1:11" s="109" customFormat="1">
      <c r="A156" s="46"/>
      <c r="B156" s="46"/>
      <c r="C156" s="46"/>
      <c r="D156" s="46"/>
      <c r="E156" s="46"/>
      <c r="F156" s="46"/>
      <c r="G156" s="46"/>
      <c r="H156" s="46"/>
      <c r="K156" s="46"/>
    </row>
    <row r="157" spans="1:11" s="109" customFormat="1">
      <c r="A157" s="46"/>
      <c r="B157" s="46"/>
      <c r="C157" s="46"/>
      <c r="D157" s="46"/>
      <c r="E157" s="46"/>
      <c r="F157" s="46"/>
      <c r="G157" s="46"/>
      <c r="H157" s="46"/>
      <c r="K157" s="46"/>
    </row>
    <row r="158" spans="1:11" s="109" customFormat="1">
      <c r="A158" s="46"/>
      <c r="B158" s="46"/>
      <c r="C158" s="46"/>
      <c r="D158" s="46"/>
      <c r="E158" s="46"/>
      <c r="F158" s="46"/>
      <c r="G158" s="46"/>
      <c r="H158" s="46"/>
      <c r="K158" s="46"/>
    </row>
    <row r="159" spans="1:11" s="109" customFormat="1">
      <c r="A159" s="46"/>
      <c r="B159" s="46"/>
      <c r="C159" s="46"/>
      <c r="D159" s="46"/>
      <c r="E159" s="46"/>
      <c r="F159" s="46"/>
      <c r="G159" s="46"/>
      <c r="H159" s="46"/>
      <c r="K159" s="46"/>
    </row>
    <row r="160" spans="1:11" s="109" customFormat="1">
      <c r="A160" s="46"/>
      <c r="B160" s="46"/>
      <c r="C160" s="46"/>
      <c r="D160" s="46"/>
      <c r="E160" s="46"/>
      <c r="F160" s="46"/>
      <c r="G160" s="46"/>
      <c r="H160" s="46"/>
      <c r="K160" s="46"/>
    </row>
    <row r="161" spans="1:11" s="109" customFormat="1">
      <c r="A161" s="46"/>
      <c r="B161" s="46"/>
      <c r="C161" s="46"/>
      <c r="D161" s="46"/>
      <c r="E161" s="46"/>
      <c r="F161" s="46"/>
      <c r="G161" s="46"/>
      <c r="H161" s="46"/>
      <c r="K161" s="46"/>
    </row>
    <row r="162" spans="1:11" s="109" customFormat="1">
      <c r="A162" s="46"/>
      <c r="B162" s="46"/>
      <c r="C162" s="46"/>
      <c r="D162" s="46"/>
      <c r="E162" s="46"/>
      <c r="F162" s="46"/>
      <c r="G162" s="46"/>
      <c r="H162" s="46"/>
      <c r="K162" s="46"/>
    </row>
    <row r="163" spans="1:11" s="109" customFormat="1">
      <c r="A163" s="46"/>
      <c r="B163" s="46"/>
      <c r="C163" s="46"/>
      <c r="D163" s="46"/>
      <c r="E163" s="46"/>
      <c r="F163" s="46"/>
      <c r="G163" s="46"/>
      <c r="H163" s="46"/>
      <c r="K163" s="46"/>
    </row>
    <row r="164" spans="1:11" s="109" customFormat="1">
      <c r="A164" s="46"/>
      <c r="B164" s="46"/>
      <c r="C164" s="46"/>
      <c r="D164" s="46"/>
      <c r="E164" s="46"/>
      <c r="F164" s="46"/>
      <c r="G164" s="46"/>
      <c r="H164" s="46"/>
      <c r="K164" s="46"/>
    </row>
    <row r="165" spans="1:11" s="109" customFormat="1">
      <c r="A165" s="46"/>
      <c r="B165" s="46"/>
      <c r="C165" s="46"/>
      <c r="D165" s="46"/>
      <c r="E165" s="46"/>
      <c r="F165" s="46"/>
      <c r="G165" s="46"/>
      <c r="H165" s="46"/>
      <c r="K165" s="46"/>
    </row>
    <row r="166" spans="1:11" s="109" customFormat="1">
      <c r="A166" s="46"/>
      <c r="B166" s="46"/>
      <c r="C166" s="46"/>
      <c r="D166" s="46"/>
      <c r="E166" s="46"/>
      <c r="F166" s="46"/>
      <c r="G166" s="46"/>
      <c r="H166" s="46"/>
      <c r="K166" s="46"/>
    </row>
    <row r="167" spans="1:11" s="109" customFormat="1">
      <c r="A167" s="46"/>
      <c r="B167" s="46"/>
      <c r="C167" s="46"/>
      <c r="D167" s="46"/>
      <c r="E167" s="46"/>
      <c r="F167" s="46"/>
      <c r="G167" s="46"/>
      <c r="H167" s="46"/>
      <c r="K167" s="46"/>
    </row>
    <row r="168" spans="1:11" s="109" customFormat="1">
      <c r="A168" s="46"/>
      <c r="B168" s="46"/>
      <c r="C168" s="46"/>
      <c r="D168" s="46"/>
      <c r="E168" s="46"/>
      <c r="F168" s="46"/>
      <c r="G168" s="46"/>
      <c r="H168" s="46"/>
      <c r="K168" s="46"/>
    </row>
    <row r="169" spans="1:11" s="109" customFormat="1">
      <c r="A169" s="46"/>
      <c r="B169" s="46"/>
      <c r="C169" s="46"/>
      <c r="D169" s="46"/>
      <c r="E169" s="46"/>
      <c r="F169" s="46"/>
      <c r="G169" s="46"/>
      <c r="H169" s="46"/>
      <c r="K169" s="46"/>
    </row>
    <row r="170" spans="1:11" s="109" customFormat="1">
      <c r="A170" s="46"/>
      <c r="B170" s="46"/>
      <c r="C170" s="46"/>
      <c r="D170" s="46"/>
      <c r="E170" s="46"/>
      <c r="F170" s="46"/>
      <c r="G170" s="46"/>
      <c r="H170" s="46"/>
      <c r="K170" s="46"/>
    </row>
    <row r="171" spans="1:11" s="109" customFormat="1">
      <c r="A171" s="46"/>
      <c r="B171" s="46"/>
      <c r="C171" s="46"/>
      <c r="D171" s="46"/>
      <c r="E171" s="46"/>
      <c r="F171" s="46"/>
      <c r="G171" s="46"/>
      <c r="H171" s="46"/>
      <c r="K171" s="46"/>
    </row>
    <row r="172" spans="1:11" s="109" customFormat="1">
      <c r="A172" s="46"/>
      <c r="B172" s="46"/>
      <c r="C172" s="46"/>
      <c r="D172" s="46"/>
      <c r="E172" s="46"/>
      <c r="F172" s="46"/>
      <c r="G172" s="46"/>
      <c r="H172" s="46"/>
      <c r="K172" s="46"/>
    </row>
    <row r="173" spans="1:11" s="109" customFormat="1">
      <c r="A173" s="46"/>
      <c r="B173" s="46"/>
      <c r="C173" s="46"/>
      <c r="D173" s="46"/>
      <c r="E173" s="46"/>
      <c r="F173" s="46"/>
      <c r="G173" s="46"/>
      <c r="H173" s="46"/>
      <c r="K173" s="46"/>
    </row>
    <row r="174" spans="1:11" s="109" customFormat="1">
      <c r="A174" s="46"/>
      <c r="B174" s="46"/>
      <c r="C174" s="46"/>
      <c r="D174" s="46"/>
      <c r="E174" s="46"/>
      <c r="F174" s="46"/>
      <c r="G174" s="46"/>
      <c r="H174" s="46"/>
      <c r="K174" s="46"/>
    </row>
    <row r="175" spans="1:11" s="109" customFormat="1">
      <c r="A175" s="46"/>
      <c r="B175" s="46"/>
      <c r="C175" s="46"/>
      <c r="D175" s="46"/>
      <c r="E175" s="46"/>
      <c r="F175" s="46"/>
      <c r="G175" s="46"/>
      <c r="H175" s="46"/>
      <c r="K175" s="46"/>
    </row>
    <row r="176" spans="1:11" s="109" customFormat="1">
      <c r="A176" s="46"/>
      <c r="B176" s="46"/>
      <c r="C176" s="46"/>
      <c r="D176" s="46"/>
      <c r="E176" s="46"/>
      <c r="F176" s="46"/>
      <c r="G176" s="46"/>
      <c r="H176" s="46"/>
      <c r="K176" s="46"/>
    </row>
    <row r="177" spans="1:11" s="109" customFormat="1">
      <c r="A177" s="46"/>
      <c r="B177" s="46"/>
      <c r="C177" s="46"/>
      <c r="D177" s="46"/>
      <c r="E177" s="46"/>
      <c r="F177" s="46"/>
      <c r="G177" s="46"/>
      <c r="H177" s="46"/>
      <c r="K177" s="46"/>
    </row>
    <row r="178" spans="1:11" s="109" customFormat="1">
      <c r="A178" s="46"/>
      <c r="B178" s="46"/>
      <c r="C178" s="46"/>
      <c r="D178" s="46"/>
      <c r="E178" s="46"/>
      <c r="F178" s="46"/>
      <c r="G178" s="46"/>
      <c r="H178" s="46"/>
      <c r="K178" s="46"/>
    </row>
    <row r="179" spans="1:11" s="109" customFormat="1">
      <c r="A179" s="46"/>
      <c r="B179" s="46"/>
      <c r="C179" s="46"/>
      <c r="D179" s="46"/>
      <c r="E179" s="46"/>
      <c r="F179" s="46"/>
      <c r="G179" s="46"/>
      <c r="H179" s="46"/>
      <c r="K179" s="46"/>
    </row>
    <row r="180" spans="1:11" s="109" customFormat="1">
      <c r="A180" s="46"/>
      <c r="B180" s="46"/>
      <c r="C180" s="46"/>
      <c r="D180" s="46"/>
      <c r="E180" s="46"/>
      <c r="F180" s="46"/>
      <c r="G180" s="46"/>
      <c r="H180" s="46"/>
      <c r="K180" s="46"/>
    </row>
    <row r="181" spans="1:11" s="109" customFormat="1">
      <c r="A181" s="46"/>
      <c r="B181" s="46"/>
      <c r="C181" s="46"/>
      <c r="D181" s="46"/>
      <c r="E181" s="46"/>
      <c r="F181" s="46"/>
      <c r="G181" s="46"/>
      <c r="H181" s="46"/>
      <c r="K181" s="46"/>
    </row>
    <row r="182" spans="1:11" s="109" customFormat="1">
      <c r="A182" s="46"/>
      <c r="B182" s="46"/>
      <c r="C182" s="46"/>
      <c r="D182" s="46"/>
      <c r="E182" s="46"/>
      <c r="F182" s="46"/>
      <c r="G182" s="46"/>
      <c r="H182" s="46"/>
      <c r="K182" s="46"/>
    </row>
    <row r="183" spans="1:11" s="109" customFormat="1">
      <c r="A183" s="46"/>
      <c r="B183" s="46"/>
      <c r="C183" s="46"/>
      <c r="D183" s="46"/>
      <c r="E183" s="46"/>
      <c r="F183" s="46"/>
      <c r="G183" s="46"/>
      <c r="H183" s="46"/>
      <c r="K183" s="46"/>
    </row>
    <row r="184" spans="1:11" s="109" customFormat="1">
      <c r="A184" s="46"/>
      <c r="B184" s="46"/>
      <c r="C184" s="46"/>
      <c r="D184" s="46"/>
      <c r="E184" s="46"/>
      <c r="F184" s="46"/>
      <c r="G184" s="46"/>
      <c r="H184" s="46"/>
      <c r="K184" s="46"/>
    </row>
    <row r="185" spans="1:11" s="109" customFormat="1">
      <c r="A185" s="46"/>
      <c r="B185" s="46"/>
      <c r="C185" s="46"/>
      <c r="D185" s="46"/>
      <c r="E185" s="46"/>
      <c r="F185" s="46"/>
      <c r="G185" s="46"/>
      <c r="H185" s="46"/>
      <c r="K185" s="46"/>
    </row>
    <row r="186" spans="1:11" s="109" customFormat="1">
      <c r="A186" s="46"/>
      <c r="B186" s="46"/>
      <c r="C186" s="46"/>
      <c r="D186" s="46"/>
      <c r="E186" s="46"/>
      <c r="F186" s="46"/>
      <c r="G186" s="46"/>
      <c r="H186" s="46"/>
      <c r="K186" s="46"/>
    </row>
    <row r="187" spans="1:11" s="109" customFormat="1">
      <c r="A187" s="46"/>
      <c r="B187" s="46"/>
      <c r="C187" s="46"/>
      <c r="D187" s="46"/>
      <c r="E187" s="46"/>
      <c r="F187" s="46"/>
      <c r="G187" s="46"/>
      <c r="H187" s="46"/>
      <c r="K187" s="46"/>
    </row>
    <row r="188" spans="1:11" s="109" customFormat="1">
      <c r="A188" s="46"/>
      <c r="B188" s="46"/>
      <c r="C188" s="46"/>
      <c r="D188" s="46"/>
      <c r="E188" s="46"/>
      <c r="F188" s="46"/>
      <c r="G188" s="46"/>
      <c r="H188" s="46"/>
      <c r="K188" s="46"/>
    </row>
    <row r="189" spans="1:11" s="109" customFormat="1">
      <c r="A189" s="46"/>
      <c r="B189" s="46"/>
      <c r="C189" s="46"/>
      <c r="D189" s="46"/>
      <c r="E189" s="46"/>
      <c r="F189" s="46"/>
      <c r="G189" s="46"/>
      <c r="H189" s="46"/>
      <c r="K189" s="46"/>
    </row>
    <row r="190" spans="1:11" s="109" customFormat="1">
      <c r="A190" s="46"/>
      <c r="B190" s="46"/>
      <c r="C190" s="46"/>
      <c r="D190" s="46"/>
      <c r="E190" s="46"/>
      <c r="F190" s="46"/>
      <c r="G190" s="46"/>
      <c r="H190" s="46"/>
      <c r="K190" s="46"/>
    </row>
    <row r="191" spans="1:11" s="109" customFormat="1">
      <c r="A191" s="46"/>
      <c r="B191" s="46"/>
      <c r="C191" s="46"/>
      <c r="D191" s="46"/>
      <c r="E191" s="46"/>
      <c r="F191" s="46"/>
      <c r="G191" s="46"/>
      <c r="H191" s="46"/>
      <c r="K191" s="46"/>
    </row>
    <row r="192" spans="1:11" s="109" customFormat="1">
      <c r="A192" s="46"/>
      <c r="B192" s="46"/>
      <c r="C192" s="46"/>
      <c r="D192" s="46"/>
      <c r="E192" s="46"/>
      <c r="F192" s="46"/>
      <c r="G192" s="46"/>
      <c r="H192" s="46"/>
      <c r="K192" s="46"/>
    </row>
    <row r="193" spans="1:11" s="109" customFormat="1">
      <c r="A193" s="46"/>
      <c r="B193" s="46"/>
      <c r="C193" s="46"/>
      <c r="D193" s="46"/>
      <c r="E193" s="46"/>
      <c r="F193" s="46"/>
      <c r="G193" s="46"/>
      <c r="H193" s="46"/>
      <c r="K193" s="46"/>
    </row>
    <row r="194" spans="1:11" s="109" customFormat="1">
      <c r="A194" s="46"/>
      <c r="B194" s="46"/>
      <c r="C194" s="46"/>
      <c r="D194" s="46"/>
      <c r="E194" s="46"/>
      <c r="F194" s="46"/>
      <c r="G194" s="46"/>
      <c r="H194" s="46"/>
      <c r="K194" s="46"/>
    </row>
    <row r="195" spans="1:11" s="109" customFormat="1">
      <c r="A195" s="46"/>
      <c r="B195" s="46"/>
      <c r="C195" s="46"/>
      <c r="D195" s="46"/>
      <c r="E195" s="46"/>
      <c r="F195" s="46"/>
      <c r="G195" s="46"/>
      <c r="H195" s="46"/>
      <c r="K195" s="46"/>
    </row>
    <row r="196" spans="1:11" s="109" customFormat="1">
      <c r="A196" s="46"/>
      <c r="B196" s="46"/>
      <c r="C196" s="46"/>
      <c r="D196" s="46"/>
      <c r="E196" s="46"/>
      <c r="F196" s="46"/>
      <c r="G196" s="46"/>
      <c r="H196" s="46"/>
      <c r="K196" s="46"/>
    </row>
    <row r="197" spans="1:11" s="109" customFormat="1">
      <c r="A197" s="46"/>
      <c r="B197" s="46"/>
      <c r="C197" s="46"/>
      <c r="D197" s="46"/>
      <c r="E197" s="46"/>
      <c r="F197" s="46"/>
      <c r="G197" s="46"/>
      <c r="H197" s="46"/>
      <c r="K197" s="46"/>
    </row>
    <row r="198" spans="1:11" s="109" customFormat="1">
      <c r="A198" s="46"/>
      <c r="B198" s="46"/>
      <c r="C198" s="46"/>
      <c r="D198" s="46"/>
      <c r="E198" s="46"/>
      <c r="F198" s="46"/>
      <c r="G198" s="46"/>
      <c r="H198" s="46"/>
      <c r="K198" s="46"/>
    </row>
    <row r="199" spans="1:11" s="109" customFormat="1">
      <c r="A199" s="46"/>
      <c r="B199" s="46"/>
      <c r="C199" s="46"/>
      <c r="D199" s="46"/>
      <c r="E199" s="46"/>
      <c r="F199" s="46"/>
      <c r="G199" s="46"/>
      <c r="H199" s="46"/>
      <c r="K199" s="46"/>
    </row>
    <row r="200" spans="1:11" s="109" customFormat="1">
      <c r="A200" s="46"/>
      <c r="B200" s="46"/>
      <c r="C200" s="46"/>
      <c r="D200" s="46"/>
      <c r="E200" s="46"/>
      <c r="F200" s="46"/>
      <c r="G200" s="46"/>
      <c r="H200" s="46"/>
      <c r="K200" s="46"/>
    </row>
    <row r="201" spans="1:11" s="109" customFormat="1">
      <c r="A201" s="46"/>
      <c r="B201" s="46"/>
      <c r="C201" s="46"/>
      <c r="D201" s="46"/>
      <c r="E201" s="46"/>
      <c r="F201" s="46"/>
      <c r="G201" s="46"/>
      <c r="H201" s="46"/>
      <c r="K201" s="46"/>
    </row>
    <row r="202" spans="1:11" s="109" customFormat="1">
      <c r="A202" s="46"/>
      <c r="B202" s="46"/>
      <c r="C202" s="46"/>
      <c r="D202" s="46"/>
      <c r="E202" s="46"/>
      <c r="F202" s="46"/>
      <c r="G202" s="46"/>
      <c r="H202" s="46"/>
      <c r="K202" s="46"/>
    </row>
    <row r="203" spans="1:11" s="109" customFormat="1">
      <c r="A203" s="46"/>
      <c r="B203" s="46"/>
      <c r="C203" s="46"/>
      <c r="D203" s="46"/>
      <c r="E203" s="46"/>
      <c r="F203" s="46"/>
      <c r="G203" s="46"/>
      <c r="H203" s="46"/>
      <c r="K203" s="46"/>
    </row>
    <row r="204" spans="1:11" s="109" customFormat="1">
      <c r="A204" s="46"/>
      <c r="B204" s="46"/>
      <c r="C204" s="46"/>
      <c r="D204" s="46"/>
      <c r="E204" s="46"/>
      <c r="F204" s="46"/>
      <c r="G204" s="46"/>
      <c r="H204" s="46"/>
      <c r="K204" s="46"/>
    </row>
    <row r="205" spans="1:11" s="109" customFormat="1">
      <c r="A205" s="46"/>
      <c r="B205" s="46"/>
      <c r="C205" s="46"/>
      <c r="D205" s="46"/>
      <c r="E205" s="46"/>
      <c r="F205" s="46"/>
      <c r="G205" s="46"/>
      <c r="H205" s="46"/>
      <c r="K205" s="46"/>
    </row>
    <row r="206" spans="1:11" s="109" customFormat="1">
      <c r="A206" s="46"/>
      <c r="B206" s="46"/>
      <c r="C206" s="46"/>
      <c r="D206" s="46"/>
      <c r="E206" s="46"/>
      <c r="F206" s="46"/>
      <c r="G206" s="46"/>
      <c r="H206" s="46"/>
      <c r="K206" s="46"/>
    </row>
    <row r="207" spans="1:11" s="109" customFormat="1">
      <c r="A207" s="46"/>
      <c r="B207" s="46"/>
      <c r="C207" s="46"/>
      <c r="D207" s="46"/>
      <c r="E207" s="46"/>
      <c r="F207" s="46"/>
      <c r="G207" s="46"/>
      <c r="H207" s="46"/>
      <c r="K207" s="46"/>
    </row>
    <row r="208" spans="1:11" s="109" customFormat="1">
      <c r="A208" s="46"/>
      <c r="B208" s="46"/>
      <c r="C208" s="46"/>
      <c r="D208" s="46"/>
      <c r="E208" s="46"/>
      <c r="F208" s="46"/>
      <c r="G208" s="46"/>
      <c r="H208" s="46"/>
      <c r="K208" s="46"/>
    </row>
    <row r="209" spans="1:11" s="109" customFormat="1">
      <c r="A209" s="46"/>
      <c r="B209" s="46"/>
      <c r="C209" s="46"/>
      <c r="D209" s="46"/>
      <c r="E209" s="46"/>
      <c r="F209" s="46"/>
      <c r="G209" s="46"/>
      <c r="H209" s="46"/>
      <c r="K209" s="46"/>
    </row>
    <row r="210" spans="1:11" s="109" customFormat="1">
      <c r="A210" s="46"/>
      <c r="B210" s="46"/>
      <c r="C210" s="46"/>
      <c r="D210" s="46"/>
      <c r="E210" s="46"/>
      <c r="F210" s="46"/>
      <c r="G210" s="46"/>
      <c r="H210" s="46"/>
      <c r="K210" s="46"/>
    </row>
    <row r="211" spans="1:11" s="109" customFormat="1">
      <c r="A211" s="46"/>
      <c r="B211" s="46"/>
      <c r="C211" s="46"/>
      <c r="D211" s="46"/>
      <c r="E211" s="46"/>
      <c r="F211" s="46"/>
      <c r="G211" s="46"/>
      <c r="H211" s="46"/>
      <c r="K211" s="46"/>
    </row>
    <row r="212" spans="1:11" s="109" customFormat="1">
      <c r="A212" s="46"/>
      <c r="B212" s="46"/>
      <c r="C212" s="46"/>
      <c r="D212" s="46"/>
      <c r="E212" s="46"/>
      <c r="F212" s="46"/>
      <c r="G212" s="46"/>
      <c r="H212" s="46"/>
      <c r="K212" s="46"/>
    </row>
    <row r="213" spans="1:11" s="109" customFormat="1">
      <c r="A213" s="46"/>
      <c r="B213" s="46"/>
      <c r="C213" s="46"/>
      <c r="D213" s="46"/>
      <c r="E213" s="46"/>
      <c r="F213" s="46"/>
      <c r="G213" s="46"/>
      <c r="H213" s="46"/>
      <c r="K213" s="46"/>
    </row>
    <row r="214" spans="1:11" s="109" customFormat="1">
      <c r="A214" s="46"/>
      <c r="B214" s="46"/>
      <c r="C214" s="46"/>
      <c r="D214" s="46"/>
      <c r="E214" s="46"/>
      <c r="F214" s="46"/>
      <c r="G214" s="46"/>
      <c r="H214" s="46"/>
      <c r="K214" s="46"/>
    </row>
    <row r="215" spans="1:11" s="109" customFormat="1">
      <c r="A215" s="46"/>
      <c r="B215" s="46"/>
      <c r="C215" s="46"/>
      <c r="D215" s="46"/>
      <c r="E215" s="46"/>
      <c r="F215" s="46"/>
      <c r="G215" s="46"/>
      <c r="H215" s="46"/>
      <c r="K215" s="46"/>
    </row>
    <row r="216" spans="1:11" s="109" customFormat="1">
      <c r="A216" s="46"/>
      <c r="B216" s="46"/>
      <c r="C216" s="46"/>
      <c r="D216" s="46"/>
      <c r="E216" s="46"/>
      <c r="F216" s="46"/>
      <c r="G216" s="46"/>
      <c r="H216" s="46"/>
      <c r="K216" s="46"/>
    </row>
    <row r="217" spans="1:11" s="109" customFormat="1">
      <c r="A217" s="46"/>
      <c r="B217" s="46"/>
      <c r="C217" s="46"/>
      <c r="D217" s="46"/>
      <c r="E217" s="46"/>
      <c r="F217" s="46"/>
      <c r="G217" s="46"/>
      <c r="H217" s="46"/>
      <c r="K217" s="46"/>
    </row>
    <row r="218" spans="1:11" s="109" customFormat="1">
      <c r="A218" s="46"/>
      <c r="B218" s="46"/>
      <c r="C218" s="46"/>
      <c r="D218" s="46"/>
      <c r="E218" s="46"/>
      <c r="F218" s="46"/>
      <c r="G218" s="46"/>
      <c r="H218" s="46"/>
      <c r="K218" s="46"/>
    </row>
    <row r="219" spans="1:11" s="109" customFormat="1">
      <c r="A219" s="46"/>
      <c r="B219" s="46"/>
      <c r="C219" s="46"/>
      <c r="D219" s="46"/>
      <c r="E219" s="46"/>
      <c r="F219" s="46"/>
      <c r="G219" s="46"/>
      <c r="H219" s="46"/>
      <c r="K219" s="46"/>
    </row>
    <row r="220" spans="1:11" s="109" customFormat="1">
      <c r="A220" s="46"/>
      <c r="B220" s="46"/>
      <c r="C220" s="46"/>
      <c r="D220" s="46"/>
      <c r="E220" s="46"/>
      <c r="F220" s="46"/>
      <c r="G220" s="46"/>
      <c r="H220" s="46"/>
      <c r="K220" s="46"/>
    </row>
    <row r="221" spans="1:11" s="109" customFormat="1">
      <c r="A221" s="46"/>
      <c r="B221" s="46"/>
      <c r="C221" s="46"/>
      <c r="D221" s="46"/>
      <c r="E221" s="46"/>
      <c r="F221" s="46"/>
      <c r="G221" s="46"/>
      <c r="H221" s="46"/>
      <c r="K221" s="46"/>
    </row>
    <row r="222" spans="1:11" s="109" customFormat="1">
      <c r="A222" s="46"/>
      <c r="B222" s="46"/>
      <c r="C222" s="46"/>
      <c r="D222" s="46"/>
      <c r="E222" s="46"/>
      <c r="F222" s="46"/>
      <c r="G222" s="46"/>
      <c r="H222" s="46"/>
      <c r="K222" s="46"/>
    </row>
    <row r="223" spans="1:11" s="109" customFormat="1">
      <c r="A223" s="46"/>
      <c r="B223" s="46"/>
      <c r="C223" s="46"/>
      <c r="D223" s="46"/>
      <c r="E223" s="46"/>
      <c r="F223" s="46"/>
      <c r="G223" s="46"/>
      <c r="H223" s="46"/>
      <c r="K223" s="46"/>
    </row>
    <row r="224" spans="1:11" s="109" customFormat="1">
      <c r="A224" s="46"/>
      <c r="B224" s="46"/>
      <c r="C224" s="46"/>
      <c r="D224" s="46"/>
      <c r="E224" s="46"/>
      <c r="F224" s="46"/>
      <c r="G224" s="46"/>
      <c r="H224" s="46"/>
      <c r="K224" s="46"/>
    </row>
    <row r="225" spans="1:11" s="109" customFormat="1">
      <c r="A225" s="46"/>
      <c r="B225" s="46"/>
      <c r="C225" s="46"/>
      <c r="D225" s="46"/>
      <c r="E225" s="46"/>
      <c r="F225" s="46"/>
      <c r="G225" s="46"/>
      <c r="H225" s="46"/>
      <c r="K225" s="46"/>
    </row>
    <row r="226" spans="1:11" s="109" customFormat="1">
      <c r="A226" s="46"/>
      <c r="B226" s="46"/>
      <c r="C226" s="46"/>
      <c r="D226" s="46"/>
      <c r="E226" s="46"/>
      <c r="F226" s="46"/>
      <c r="G226" s="46"/>
      <c r="H226" s="46"/>
      <c r="K226" s="46"/>
    </row>
    <row r="227" spans="1:11" s="109" customFormat="1">
      <c r="A227" s="46"/>
      <c r="B227" s="46"/>
      <c r="C227" s="46"/>
      <c r="D227" s="46"/>
      <c r="E227" s="46"/>
      <c r="F227" s="46"/>
      <c r="G227" s="46"/>
      <c r="H227" s="46"/>
      <c r="K227" s="46"/>
    </row>
    <row r="228" spans="1:11" s="109" customFormat="1">
      <c r="A228" s="46"/>
      <c r="B228" s="46"/>
      <c r="C228" s="46"/>
      <c r="D228" s="46"/>
      <c r="E228" s="46"/>
      <c r="F228" s="46"/>
      <c r="G228" s="46"/>
      <c r="H228" s="46"/>
      <c r="K228" s="46"/>
    </row>
    <row r="229" spans="1:11" s="109" customFormat="1">
      <c r="A229" s="46"/>
      <c r="B229" s="46"/>
      <c r="C229" s="46"/>
      <c r="D229" s="46"/>
      <c r="E229" s="46"/>
      <c r="F229" s="46"/>
      <c r="G229" s="46"/>
      <c r="H229" s="46"/>
      <c r="K229" s="46"/>
    </row>
    <row r="230" spans="1:11" s="109" customFormat="1">
      <c r="A230" s="46"/>
      <c r="B230" s="46"/>
      <c r="C230" s="46"/>
      <c r="D230" s="46"/>
      <c r="E230" s="46"/>
      <c r="F230" s="46"/>
      <c r="G230" s="46"/>
      <c r="H230" s="46"/>
      <c r="K230" s="46"/>
    </row>
    <row r="231" spans="1:11" s="109" customFormat="1">
      <c r="A231" s="46"/>
      <c r="B231" s="46"/>
      <c r="C231" s="46"/>
      <c r="D231" s="46"/>
      <c r="E231" s="46"/>
      <c r="F231" s="46"/>
      <c r="G231" s="46"/>
      <c r="H231" s="46"/>
      <c r="K231" s="46"/>
    </row>
  </sheetData>
  <mergeCells count="3">
    <mergeCell ref="A2:J2"/>
    <mergeCell ref="A3:J3"/>
    <mergeCell ref="A4:J4"/>
  </mergeCells>
  <pageMargins left="0.27" right="0.15" top="0.39" bottom="0.1" header="0.21" footer="0.1"/>
  <pageSetup scale="90" orientation="portrait" horizontalDpi="300" verticalDpi="300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FF00"/>
  </sheetPr>
  <dimension ref="A1:N231"/>
  <sheetViews>
    <sheetView topLeftCell="A23" workbookViewId="0">
      <selection activeCell="J13" sqref="J13"/>
    </sheetView>
  </sheetViews>
  <sheetFormatPr defaultRowHeight="12.75"/>
  <cols>
    <col min="1" max="1" width="6" style="46" customWidth="1"/>
    <col min="2" max="3" width="9.140625" style="46"/>
    <col min="4" max="4" width="16.5703125" style="46" customWidth="1"/>
    <col min="5" max="5" width="12.42578125" style="46" customWidth="1"/>
    <col min="6" max="6" width="13.140625" style="46" customWidth="1"/>
    <col min="7" max="7" width="10" style="46" customWidth="1"/>
    <col min="8" max="8" width="11.5703125" style="46" customWidth="1"/>
    <col min="9" max="9" width="11.42578125" style="46" customWidth="1"/>
    <col min="10" max="10" width="13.28515625" style="109" customWidth="1"/>
    <col min="11" max="11" width="15.7109375" style="46" customWidth="1"/>
    <col min="12" max="12" width="16.85546875" style="109" customWidth="1"/>
    <col min="13" max="13" width="17" style="109" customWidth="1"/>
    <col min="14" max="14" width="17" style="46" customWidth="1"/>
    <col min="15" max="16384" width="9.140625" style="46"/>
  </cols>
  <sheetData>
    <row r="1" spans="1:13">
      <c r="A1" s="47"/>
      <c r="B1" s="48"/>
      <c r="C1" s="48"/>
      <c r="D1" s="48"/>
      <c r="E1" s="48"/>
      <c r="F1" s="48"/>
      <c r="G1" s="48"/>
      <c r="H1" s="48"/>
      <c r="I1" s="48"/>
      <c r="J1" s="169" t="s">
        <v>81</v>
      </c>
    </row>
    <row r="2" spans="1:13">
      <c r="A2" s="389" t="s">
        <v>80</v>
      </c>
      <c r="B2" s="390"/>
      <c r="C2" s="390"/>
      <c r="D2" s="390"/>
      <c r="E2" s="390"/>
      <c r="F2" s="390"/>
      <c r="G2" s="390"/>
      <c r="H2" s="390"/>
      <c r="I2" s="390"/>
      <c r="J2" s="391"/>
    </row>
    <row r="3" spans="1:13">
      <c r="A3" s="389" t="s">
        <v>172</v>
      </c>
      <c r="B3" s="390"/>
      <c r="C3" s="390"/>
      <c r="D3" s="390"/>
      <c r="E3" s="390"/>
      <c r="F3" s="390"/>
      <c r="G3" s="390"/>
      <c r="H3" s="390"/>
      <c r="I3" s="390"/>
      <c r="J3" s="391"/>
    </row>
    <row r="4" spans="1:13">
      <c r="A4" s="389"/>
      <c r="B4" s="390"/>
      <c r="C4" s="390"/>
      <c r="D4" s="390"/>
      <c r="E4" s="390"/>
      <c r="F4" s="390"/>
      <c r="G4" s="390"/>
      <c r="H4" s="390"/>
      <c r="I4" s="390"/>
      <c r="J4" s="391"/>
    </row>
    <row r="5" spans="1:13">
      <c r="A5" s="54" t="s">
        <v>77</v>
      </c>
      <c r="B5" s="188"/>
      <c r="C5" s="188"/>
      <c r="D5" s="188"/>
      <c r="E5" s="188"/>
      <c r="F5" s="188"/>
      <c r="G5" s="188"/>
      <c r="H5" s="188"/>
      <c r="I5" s="188"/>
      <c r="J5" s="170"/>
    </row>
    <row r="6" spans="1:13">
      <c r="A6" s="54" t="s">
        <v>76</v>
      </c>
      <c r="B6" s="55"/>
      <c r="C6" s="55"/>
      <c r="D6" s="55"/>
      <c r="E6" s="55"/>
      <c r="F6" s="55"/>
      <c r="G6" s="55"/>
      <c r="H6" s="55"/>
      <c r="I6" s="55"/>
      <c r="J6" s="171"/>
    </row>
    <row r="7" spans="1:13">
      <c r="A7" s="47"/>
      <c r="B7" s="48"/>
      <c r="C7" s="48"/>
      <c r="D7" s="49"/>
      <c r="E7" s="88" t="s">
        <v>8</v>
      </c>
      <c r="F7" s="50"/>
      <c r="G7" s="52"/>
      <c r="H7" s="52"/>
      <c r="I7" s="53"/>
      <c r="J7" s="110"/>
    </row>
    <row r="8" spans="1:13">
      <c r="A8" s="54"/>
      <c r="B8" s="55"/>
      <c r="C8" s="55"/>
      <c r="D8" s="56"/>
      <c r="E8" s="187" t="s">
        <v>9</v>
      </c>
      <c r="F8" s="53"/>
      <c r="G8" s="59"/>
      <c r="H8" s="59"/>
      <c r="I8" s="58"/>
      <c r="J8" s="111"/>
    </row>
    <row r="9" spans="1:13">
      <c r="A9" s="61" t="s">
        <v>68</v>
      </c>
      <c r="B9" s="55"/>
      <c r="C9" s="55"/>
      <c r="D9" s="56"/>
      <c r="E9" s="187" t="s">
        <v>10</v>
      </c>
      <c r="F9" s="60" t="s">
        <v>12</v>
      </c>
      <c r="G9" s="60" t="s">
        <v>14</v>
      </c>
      <c r="H9" s="60" t="s">
        <v>20</v>
      </c>
      <c r="I9" s="60" t="s">
        <v>22</v>
      </c>
      <c r="J9" s="112" t="s">
        <v>24</v>
      </c>
    </row>
    <row r="10" spans="1:13">
      <c r="A10" s="54"/>
      <c r="B10" s="55"/>
      <c r="C10" s="55"/>
      <c r="D10" s="56"/>
      <c r="E10" s="187" t="s">
        <v>11</v>
      </c>
      <c r="F10" s="60" t="s">
        <v>13</v>
      </c>
      <c r="G10" s="59"/>
      <c r="H10" s="60" t="s">
        <v>21</v>
      </c>
      <c r="I10" s="60" t="s">
        <v>23</v>
      </c>
      <c r="J10" s="111"/>
    </row>
    <row r="11" spans="1:13">
      <c r="A11" s="62"/>
      <c r="B11" s="63"/>
      <c r="C11" s="63"/>
      <c r="D11" s="64"/>
      <c r="E11" s="65">
        <v>0.3</v>
      </c>
      <c r="F11" s="66">
        <v>0.7</v>
      </c>
      <c r="G11" s="59"/>
      <c r="H11" s="67"/>
      <c r="I11" s="68"/>
      <c r="J11" s="113"/>
    </row>
    <row r="12" spans="1:13" ht="18" customHeight="1">
      <c r="A12" s="70" t="s">
        <v>0</v>
      </c>
      <c r="B12" s="71"/>
      <c r="C12" s="71"/>
      <c r="D12" s="72"/>
      <c r="E12" s="51"/>
      <c r="F12" s="51"/>
      <c r="G12" s="51"/>
      <c r="H12" s="51"/>
      <c r="I12" s="51"/>
      <c r="J12" s="110"/>
      <c r="L12" s="118" t="s">
        <v>90</v>
      </c>
      <c r="M12" s="118" t="s">
        <v>89</v>
      </c>
    </row>
    <row r="13" spans="1:13" ht="18" customHeight="1">
      <c r="A13" s="73" t="s">
        <v>1</v>
      </c>
      <c r="B13" s="72"/>
      <c r="C13" s="72"/>
      <c r="D13" s="72"/>
      <c r="E13" s="94">
        <f>M19*0.3</f>
        <v>145286.33175000004</v>
      </c>
      <c r="F13" s="94">
        <f>M19*0.7</f>
        <v>339001.44075000013</v>
      </c>
      <c r="G13" s="94"/>
      <c r="H13" s="94"/>
      <c r="I13" s="94"/>
      <c r="J13" s="275">
        <f>SUM(E13:I13)</f>
        <v>484287.7725000002</v>
      </c>
      <c r="K13" s="175" t="e">
        <f>SUM(J13+#REF!+#REF!+#REF!+#REF!+#REF!+#REF!+#REF!+#REF!+#REF!+#REF!+#REF!)</f>
        <v>#REF!</v>
      </c>
      <c r="L13" s="109">
        <v>21367644.399999999</v>
      </c>
      <c r="M13" s="109">
        <v>4171566.4</v>
      </c>
    </row>
    <row r="14" spans="1:13" ht="18" customHeight="1">
      <c r="A14" s="73" t="s">
        <v>2</v>
      </c>
      <c r="B14" s="72"/>
      <c r="C14" s="72"/>
      <c r="D14" s="72"/>
      <c r="E14" s="102"/>
      <c r="F14" s="102"/>
      <c r="G14" s="102"/>
      <c r="H14" s="102"/>
      <c r="I14" s="102"/>
      <c r="J14" s="110">
        <f>SUM(E14:I14)</f>
        <v>0</v>
      </c>
      <c r="K14" s="117" t="s">
        <v>88</v>
      </c>
      <c r="L14" s="109">
        <v>9400000</v>
      </c>
      <c r="M14" s="109">
        <v>5637398.9699999997</v>
      </c>
    </row>
    <row r="15" spans="1:13" ht="18" customHeight="1">
      <c r="A15" s="75" t="s">
        <v>3</v>
      </c>
      <c r="B15" s="48"/>
      <c r="C15" s="48"/>
      <c r="D15" s="48"/>
      <c r="E15" s="102"/>
      <c r="F15" s="102"/>
      <c r="G15" s="102"/>
      <c r="H15" s="102"/>
      <c r="I15" s="102"/>
      <c r="J15" s="110"/>
      <c r="L15" s="116">
        <f>SUM(L13:L14)</f>
        <v>30767644.399999999</v>
      </c>
      <c r="M15" s="116">
        <f>SUM(M13:M14)</f>
        <v>9808965.3699999992</v>
      </c>
    </row>
    <row r="16" spans="1:13" ht="18" customHeight="1">
      <c r="A16" s="76" t="s">
        <v>78</v>
      </c>
      <c r="B16" s="55"/>
      <c r="C16" s="55"/>
      <c r="D16" s="55"/>
      <c r="E16" s="103"/>
      <c r="F16" s="103"/>
      <c r="G16" s="103"/>
      <c r="H16" s="103"/>
      <c r="I16" s="103"/>
      <c r="J16" s="113">
        <f>SUM(E16:I16)</f>
        <v>0</v>
      </c>
      <c r="K16" s="46">
        <v>11930281.960000001</v>
      </c>
    </row>
    <row r="17" spans="1:13" ht="18" customHeight="1">
      <c r="A17" s="77" t="s">
        <v>79</v>
      </c>
      <c r="B17" s="72"/>
      <c r="C17" s="72"/>
      <c r="D17" s="72"/>
      <c r="E17" s="94"/>
      <c r="F17" s="94"/>
      <c r="G17" s="94"/>
      <c r="H17" s="94"/>
      <c r="I17" s="94"/>
      <c r="J17" s="113">
        <f>SUM(E17:I17)</f>
        <v>0</v>
      </c>
      <c r="K17" s="173">
        <f>K16-J16</f>
        <v>11930281.960000001</v>
      </c>
      <c r="M17" s="109">
        <v>25936573.030000001</v>
      </c>
    </row>
    <row r="18" spans="1:13" ht="18" customHeight="1">
      <c r="A18" s="70" t="s">
        <v>7</v>
      </c>
      <c r="B18" s="72"/>
      <c r="C18" s="72"/>
      <c r="D18" s="72"/>
      <c r="E18" s="119">
        <f>SUM(E13:E17)</f>
        <v>145286.33175000004</v>
      </c>
      <c r="F18" s="119">
        <f t="shared" ref="F18:J18" si="0">SUM(F13:F17)</f>
        <v>339001.44075000013</v>
      </c>
      <c r="G18" s="119">
        <f t="shared" si="0"/>
        <v>0</v>
      </c>
      <c r="H18" s="119">
        <f t="shared" si="0"/>
        <v>0</v>
      </c>
      <c r="I18" s="119">
        <f t="shared" si="0"/>
        <v>0</v>
      </c>
      <c r="J18" s="119">
        <f t="shared" si="0"/>
        <v>484287.7725000002</v>
      </c>
      <c r="K18" s="166">
        <f t="shared" ref="K18:K40" si="1">SUM(E18:I18)</f>
        <v>484287.7725000002</v>
      </c>
      <c r="L18" s="193" t="s">
        <v>171</v>
      </c>
      <c r="M18" s="192">
        <f>113605404.56-103919649.11</f>
        <v>9685755.450000003</v>
      </c>
    </row>
    <row r="19" spans="1:13" s="109" customFormat="1" ht="18" customHeight="1">
      <c r="A19" s="74" t="s">
        <v>99</v>
      </c>
      <c r="B19" s="72" t="s">
        <v>100</v>
      </c>
      <c r="C19" s="72"/>
      <c r="D19" s="72"/>
      <c r="E19" s="94">
        <f>SUM('DRRM Funds Jan 2014'!E41)</f>
        <v>9715754.2566499989</v>
      </c>
      <c r="F19" s="94">
        <f>SUM('DRRM Funds Jan 2014'!F41)</f>
        <v>19564794.998849999</v>
      </c>
      <c r="G19" s="94">
        <f>SUM('DRRM Funds Jan 2014'!G41)</f>
        <v>0</v>
      </c>
      <c r="H19" s="94">
        <f>SUM('DRRM Funds Jan 2014'!H41)</f>
        <v>10140</v>
      </c>
      <c r="I19" s="94">
        <f>SUM('DRRM Funds Jan 2014'!I41)</f>
        <v>0</v>
      </c>
      <c r="J19" s="94">
        <f>SUM('DRRM Funds Jan 2014'!J41)</f>
        <v>29290689.255499996</v>
      </c>
      <c r="K19" s="166">
        <f t="shared" si="1"/>
        <v>29290689.255499996</v>
      </c>
      <c r="L19" s="194">
        <v>0.05</v>
      </c>
      <c r="M19" s="192">
        <f>M18*0.05</f>
        <v>484287.7725000002</v>
      </c>
    </row>
    <row r="20" spans="1:13" s="109" customFormat="1" ht="18" customHeight="1">
      <c r="A20" s="70" t="s">
        <v>101</v>
      </c>
      <c r="B20" s="122"/>
      <c r="C20" s="72"/>
      <c r="D20" s="72"/>
      <c r="E20" s="119">
        <f>SUM(E18:E19)</f>
        <v>9861040.5883999988</v>
      </c>
      <c r="F20" s="119">
        <f t="shared" ref="F20:J20" si="2">SUM(F18:F19)</f>
        <v>19903796.439599998</v>
      </c>
      <c r="G20" s="119">
        <f t="shared" si="2"/>
        <v>0</v>
      </c>
      <c r="H20" s="119">
        <f t="shared" si="2"/>
        <v>10140</v>
      </c>
      <c r="I20" s="119">
        <f t="shared" si="2"/>
        <v>0</v>
      </c>
      <c r="J20" s="119">
        <f t="shared" si="2"/>
        <v>29774977.027999997</v>
      </c>
      <c r="K20" s="166">
        <f t="shared" si="1"/>
        <v>29774977.027999997</v>
      </c>
    </row>
    <row r="21" spans="1:13" ht="18" customHeight="1">
      <c r="A21" s="70" t="s">
        <v>15</v>
      </c>
      <c r="B21" s="72"/>
      <c r="C21" s="72"/>
      <c r="D21" s="72"/>
      <c r="E21" s="94"/>
      <c r="F21" s="94"/>
      <c r="G21" s="94"/>
      <c r="H21" s="94"/>
      <c r="I21" s="94"/>
      <c r="J21" s="111"/>
      <c r="K21" s="166">
        <f t="shared" si="1"/>
        <v>0</v>
      </c>
      <c r="M21" s="109">
        <v>26972032.48</v>
      </c>
    </row>
    <row r="22" spans="1:13" ht="18" customHeight="1">
      <c r="A22" s="78" t="s">
        <v>16</v>
      </c>
      <c r="B22" s="72"/>
      <c r="C22" s="72"/>
      <c r="D22" s="72"/>
      <c r="E22" s="94"/>
      <c r="F22" s="94"/>
      <c r="G22" s="94"/>
      <c r="H22" s="94"/>
      <c r="I22" s="94"/>
      <c r="J22" s="114">
        <f t="shared" ref="J22" si="3">SUM(E22:I22)</f>
        <v>0</v>
      </c>
      <c r="K22" s="166">
        <f t="shared" si="1"/>
        <v>0</v>
      </c>
      <c r="L22" s="176">
        <f>518731460.56*0.05</f>
        <v>25936573.028000001</v>
      </c>
      <c r="M22" s="109">
        <v>10934284.82</v>
      </c>
    </row>
    <row r="23" spans="1:13" ht="18" customHeight="1">
      <c r="A23" s="78" t="s">
        <v>70</v>
      </c>
      <c r="B23" s="72"/>
      <c r="C23" s="72"/>
      <c r="D23" s="72"/>
      <c r="E23" s="94"/>
      <c r="F23" s="94">
        <v>10440</v>
      </c>
      <c r="G23" s="94"/>
      <c r="H23" s="94"/>
      <c r="I23" s="94"/>
      <c r="J23" s="114">
        <f>SUM(E23:I23)</f>
        <v>10440</v>
      </c>
      <c r="K23" s="166">
        <f t="shared" si="1"/>
        <v>10440</v>
      </c>
      <c r="L23" s="109" t="e">
        <f>L22-K13</f>
        <v>#REF!</v>
      </c>
      <c r="M23" s="109">
        <f>M21-M22</f>
        <v>16037747.66</v>
      </c>
    </row>
    <row r="24" spans="1:13" ht="18" customHeight="1">
      <c r="A24" s="78" t="s">
        <v>71</v>
      </c>
      <c r="B24" s="72"/>
      <c r="C24" s="72"/>
      <c r="D24" s="72"/>
      <c r="E24" s="94"/>
      <c r="F24" s="94">
        <f>191626.5+14700+5875</f>
        <v>212201.5</v>
      </c>
      <c r="G24" s="94"/>
      <c r="H24" s="94"/>
      <c r="I24" s="94"/>
      <c r="J24" s="114">
        <f t="shared" ref="J24:J37" si="4">SUM(E24:I24)</f>
        <v>212201.5</v>
      </c>
      <c r="K24" s="166">
        <f t="shared" si="1"/>
        <v>212201.5</v>
      </c>
    </row>
    <row r="25" spans="1:13" ht="18" customHeight="1">
      <c r="A25" s="79" t="s">
        <v>91</v>
      </c>
      <c r="B25" s="72"/>
      <c r="C25" s="72"/>
      <c r="D25" s="72"/>
      <c r="E25" s="94"/>
      <c r="F25" s="94"/>
      <c r="G25" s="94"/>
      <c r="H25" s="94"/>
      <c r="I25" s="94"/>
      <c r="J25" s="114">
        <f t="shared" si="4"/>
        <v>0</v>
      </c>
      <c r="K25" s="166">
        <f t="shared" si="1"/>
        <v>0</v>
      </c>
    </row>
    <row r="26" spans="1:13" ht="18" customHeight="1">
      <c r="A26" s="78" t="s">
        <v>17</v>
      </c>
      <c r="B26" s="72"/>
      <c r="C26" s="72"/>
      <c r="D26" s="72"/>
      <c r="E26" s="94"/>
      <c r="F26" s="94"/>
      <c r="G26" s="94"/>
      <c r="H26" s="94"/>
      <c r="I26" s="94"/>
      <c r="J26" s="114">
        <f t="shared" si="4"/>
        <v>0</v>
      </c>
      <c r="K26" s="166">
        <f t="shared" si="1"/>
        <v>0</v>
      </c>
    </row>
    <row r="27" spans="1:13" ht="18" customHeight="1">
      <c r="A27" s="78" t="s">
        <v>18</v>
      </c>
      <c r="B27" s="72"/>
      <c r="C27" s="72"/>
      <c r="D27" s="72"/>
      <c r="E27" s="94"/>
      <c r="F27" s="94"/>
      <c r="G27" s="94"/>
      <c r="H27" s="94"/>
      <c r="I27" s="94"/>
      <c r="J27" s="114">
        <f t="shared" si="4"/>
        <v>0</v>
      </c>
      <c r="K27" s="166">
        <f t="shared" si="1"/>
        <v>0</v>
      </c>
      <c r="L27" s="118" t="s">
        <v>162</v>
      </c>
    </row>
    <row r="28" spans="1:13" ht="18" customHeight="1">
      <c r="A28" s="78" t="s">
        <v>102</v>
      </c>
      <c r="B28" s="72"/>
      <c r="C28" s="72"/>
      <c r="D28" s="72"/>
      <c r="E28" s="94"/>
      <c r="F28" s="94"/>
      <c r="G28" s="94"/>
      <c r="H28" s="94"/>
      <c r="I28" s="94"/>
      <c r="J28" s="114">
        <f t="shared" si="4"/>
        <v>0</v>
      </c>
      <c r="K28" s="166">
        <f t="shared" si="1"/>
        <v>0</v>
      </c>
      <c r="L28" s="109">
        <f>SUM(F27:F28)</f>
        <v>0</v>
      </c>
    </row>
    <row r="29" spans="1:13" ht="18" customHeight="1">
      <c r="A29" s="78" t="s">
        <v>19</v>
      </c>
      <c r="B29" s="72"/>
      <c r="C29" s="72"/>
      <c r="D29" s="72"/>
      <c r="E29" s="94"/>
      <c r="F29" s="94"/>
      <c r="G29" s="94"/>
      <c r="H29" s="94"/>
      <c r="I29" s="94"/>
      <c r="J29" s="114">
        <f t="shared" si="4"/>
        <v>0</v>
      </c>
      <c r="K29" s="166">
        <f t="shared" si="1"/>
        <v>0</v>
      </c>
      <c r="L29" s="109">
        <v>147060</v>
      </c>
    </row>
    <row r="30" spans="1:13" ht="18" customHeight="1">
      <c r="A30" s="78" t="s">
        <v>168</v>
      </c>
      <c r="B30" s="72"/>
      <c r="C30" s="72"/>
      <c r="D30" s="72"/>
      <c r="E30" s="94"/>
      <c r="F30" s="94"/>
      <c r="G30" s="94"/>
      <c r="H30" s="94"/>
      <c r="I30" s="94"/>
      <c r="J30" s="114">
        <f t="shared" si="4"/>
        <v>0</v>
      </c>
      <c r="K30" s="166">
        <f t="shared" si="1"/>
        <v>0</v>
      </c>
    </row>
    <row r="31" spans="1:13" ht="18" customHeight="1">
      <c r="A31" s="78" t="s">
        <v>98</v>
      </c>
      <c r="B31" s="72"/>
      <c r="C31" s="72"/>
      <c r="D31" s="72"/>
      <c r="E31" s="94"/>
      <c r="F31" s="94"/>
      <c r="G31" s="94"/>
      <c r="H31" s="94"/>
      <c r="I31" s="94"/>
      <c r="J31" s="114"/>
      <c r="K31" s="166">
        <f t="shared" si="1"/>
        <v>0</v>
      </c>
      <c r="L31" s="109">
        <v>1555500</v>
      </c>
    </row>
    <row r="32" spans="1:13" ht="18" customHeight="1">
      <c r="A32" s="78"/>
      <c r="B32" s="72" t="s">
        <v>5</v>
      </c>
      <c r="C32" s="72"/>
      <c r="D32" s="72"/>
      <c r="E32" s="94"/>
      <c r="F32" s="94"/>
      <c r="G32" s="94"/>
      <c r="H32" s="94"/>
      <c r="I32" s="94"/>
      <c r="J32" s="114">
        <f t="shared" si="4"/>
        <v>0</v>
      </c>
      <c r="K32" s="166">
        <f t="shared" si="1"/>
        <v>0</v>
      </c>
      <c r="L32" s="109">
        <v>229640</v>
      </c>
      <c r="M32" s="109">
        <v>2313123</v>
      </c>
    </row>
    <row r="33" spans="1:14" ht="18" customHeight="1">
      <c r="A33" s="78"/>
      <c r="B33" s="72" t="s">
        <v>97</v>
      </c>
      <c r="C33" s="72"/>
      <c r="D33" s="72"/>
      <c r="E33" s="94"/>
      <c r="F33" s="94"/>
      <c r="G33" s="94"/>
      <c r="H33" s="94"/>
      <c r="I33" s="94"/>
      <c r="J33" s="114">
        <f t="shared" si="4"/>
        <v>0</v>
      </c>
      <c r="K33" s="166">
        <f t="shared" si="1"/>
        <v>0</v>
      </c>
      <c r="L33" s="109">
        <v>2209000</v>
      </c>
    </row>
    <row r="34" spans="1:14" ht="18" customHeight="1">
      <c r="A34" s="78" t="s">
        <v>75</v>
      </c>
      <c r="B34" s="72"/>
      <c r="C34" s="72"/>
      <c r="D34" s="72"/>
      <c r="E34" s="94"/>
      <c r="F34" s="94"/>
      <c r="G34" s="94"/>
      <c r="H34" s="94"/>
      <c r="I34" s="94"/>
      <c r="J34" s="114">
        <f t="shared" si="4"/>
        <v>0</v>
      </c>
      <c r="K34" s="166">
        <f t="shared" si="1"/>
        <v>0</v>
      </c>
      <c r="L34" s="109">
        <v>173800</v>
      </c>
    </row>
    <row r="35" spans="1:14" ht="18" customHeight="1">
      <c r="A35" s="79" t="s">
        <v>94</v>
      </c>
      <c r="B35" s="72"/>
      <c r="C35" s="72"/>
      <c r="D35" s="72"/>
      <c r="E35" s="94"/>
      <c r="F35" s="94"/>
      <c r="G35" s="94"/>
      <c r="H35" s="94"/>
      <c r="I35" s="94"/>
      <c r="J35" s="114">
        <f t="shared" si="4"/>
        <v>0</v>
      </c>
      <c r="K35" s="166">
        <f t="shared" si="1"/>
        <v>0</v>
      </c>
      <c r="L35" s="109">
        <v>177000</v>
      </c>
    </row>
    <row r="36" spans="1:14" ht="18" customHeight="1">
      <c r="A36" s="79" t="s">
        <v>95</v>
      </c>
      <c r="B36" s="72"/>
      <c r="C36" s="72"/>
      <c r="D36" s="72"/>
      <c r="E36" s="94"/>
      <c r="F36" s="94"/>
      <c r="G36" s="94"/>
      <c r="H36" s="94"/>
      <c r="I36" s="94"/>
      <c r="J36" s="114">
        <f t="shared" si="4"/>
        <v>0</v>
      </c>
      <c r="K36" s="166">
        <f t="shared" si="1"/>
        <v>0</v>
      </c>
      <c r="L36" s="109">
        <v>204055</v>
      </c>
    </row>
    <row r="37" spans="1:14" ht="18" customHeight="1">
      <c r="A37" s="78" t="s">
        <v>96</v>
      </c>
      <c r="B37" s="72"/>
      <c r="C37" s="72"/>
      <c r="D37" s="72"/>
      <c r="E37" s="94"/>
      <c r="F37" s="94"/>
      <c r="G37" s="94"/>
      <c r="H37" s="94"/>
      <c r="I37" s="94"/>
      <c r="J37" s="114">
        <f t="shared" si="4"/>
        <v>0</v>
      </c>
      <c r="K37" s="166">
        <f t="shared" si="1"/>
        <v>0</v>
      </c>
      <c r="L37" s="109">
        <v>71070</v>
      </c>
    </row>
    <row r="38" spans="1:14" ht="18" customHeight="1">
      <c r="A38" s="84" t="s">
        <v>92</v>
      </c>
      <c r="B38" s="63"/>
      <c r="C38" s="63"/>
      <c r="D38" s="63"/>
      <c r="E38" s="94">
        <f t="shared" ref="E38:J38" si="5">SUM(E22:E37)</f>
        <v>0</v>
      </c>
      <c r="F38" s="94">
        <f t="shared" si="5"/>
        <v>222641.5</v>
      </c>
      <c r="G38" s="94">
        <f t="shared" si="5"/>
        <v>0</v>
      </c>
      <c r="H38" s="94">
        <f t="shared" si="5"/>
        <v>0</v>
      </c>
      <c r="I38" s="94">
        <f t="shared" si="5"/>
        <v>0</v>
      </c>
      <c r="J38" s="94">
        <f t="shared" si="5"/>
        <v>222641.5</v>
      </c>
      <c r="K38" s="166">
        <f t="shared" si="1"/>
        <v>222641.5</v>
      </c>
      <c r="L38" s="109">
        <v>27800</v>
      </c>
      <c r="M38" s="46"/>
    </row>
    <row r="39" spans="1:14" ht="18" customHeight="1">
      <c r="A39" s="84" t="s">
        <v>103</v>
      </c>
      <c r="B39" s="63"/>
      <c r="C39" s="63"/>
      <c r="D39" s="63"/>
      <c r="E39" s="103">
        <f>SUM('DRRM Funds Jan 2014'!E40)</f>
        <v>0</v>
      </c>
      <c r="F39" s="103">
        <f>SUM('DRRM Funds Jan 2014'!F40)</f>
        <v>0</v>
      </c>
      <c r="G39" s="103">
        <f>SUM('DRRM Funds Jan 2014'!G40)</f>
        <v>0</v>
      </c>
      <c r="H39" s="103">
        <f>SUM('DRRM Funds Jan 2014'!H40)</f>
        <v>0</v>
      </c>
      <c r="I39" s="103">
        <f>SUM('DRRM Funds Jan 2014'!I40)</f>
        <v>0</v>
      </c>
      <c r="J39" s="103">
        <f>SUM('DRRM Funds Jan 2014'!J40)</f>
        <v>0</v>
      </c>
      <c r="K39" s="166">
        <f t="shared" si="1"/>
        <v>0</v>
      </c>
      <c r="L39" s="109">
        <v>126865</v>
      </c>
      <c r="M39" s="109">
        <f>SUM(E39:H39)</f>
        <v>0</v>
      </c>
    </row>
    <row r="40" spans="1:14" ht="18" customHeight="1">
      <c r="A40" s="84" t="s">
        <v>104</v>
      </c>
      <c r="B40" s="63"/>
      <c r="C40" s="63"/>
      <c r="D40" s="63"/>
      <c r="E40" s="103">
        <f>SUM(E38:E39)</f>
        <v>0</v>
      </c>
      <c r="F40" s="103">
        <f>SUM(F38:F39)</f>
        <v>222641.5</v>
      </c>
      <c r="G40" s="103">
        <f t="shared" ref="G40:J40" si="6">SUM(G38:G39)</f>
        <v>0</v>
      </c>
      <c r="H40" s="103">
        <f t="shared" si="6"/>
        <v>0</v>
      </c>
      <c r="I40" s="103">
        <f t="shared" si="6"/>
        <v>0</v>
      </c>
      <c r="J40" s="103">
        <f t="shared" si="6"/>
        <v>222641.5</v>
      </c>
      <c r="K40" s="166">
        <f t="shared" si="1"/>
        <v>222641.5</v>
      </c>
      <c r="L40" s="174">
        <f>SUM(L28:L39)</f>
        <v>4921790</v>
      </c>
      <c r="M40" s="109">
        <v>10492358.970000001</v>
      </c>
    </row>
    <row r="41" spans="1:14" ht="18" customHeight="1">
      <c r="A41" s="70" t="s">
        <v>93</v>
      </c>
      <c r="B41" s="72"/>
      <c r="C41" s="72"/>
      <c r="D41" s="80"/>
      <c r="E41" s="120">
        <f>E20-E38</f>
        <v>9861040.5883999988</v>
      </c>
      <c r="F41" s="120">
        <f t="shared" ref="F41:J41" si="7">F20-F38</f>
        <v>19681154.939599998</v>
      </c>
      <c r="G41" s="120">
        <f t="shared" si="7"/>
        <v>0</v>
      </c>
      <c r="H41" s="120">
        <f t="shared" si="7"/>
        <v>10140</v>
      </c>
      <c r="I41" s="120">
        <f t="shared" si="7"/>
        <v>0</v>
      </c>
      <c r="J41" s="120">
        <f t="shared" si="7"/>
        <v>29552335.527999997</v>
      </c>
      <c r="K41" s="166">
        <f>SUM(E41:I41)</f>
        <v>29552335.527999997</v>
      </c>
      <c r="L41" s="46"/>
      <c r="M41" s="109">
        <f>M40-L40</f>
        <v>5570568.9700000007</v>
      </c>
    </row>
    <row r="42" spans="1:14" ht="18" customHeight="1">
      <c r="A42" s="55"/>
      <c r="B42" s="55"/>
      <c r="C42" s="55"/>
      <c r="D42" s="55"/>
      <c r="E42" s="55"/>
      <c r="F42" s="55"/>
      <c r="G42" s="55"/>
      <c r="H42" s="55"/>
      <c r="I42" s="55"/>
      <c r="J42" s="115" t="s">
        <v>74</v>
      </c>
      <c r="K42" s="92">
        <f>SUM(E41:F41)</f>
        <v>29542195.527999997</v>
      </c>
      <c r="M42" s="109">
        <v>0</v>
      </c>
    </row>
    <row r="43" spans="1:14" ht="18" customHeight="1">
      <c r="A43" s="55"/>
      <c r="B43" s="55"/>
      <c r="C43" s="55"/>
      <c r="D43" s="55"/>
      <c r="E43" s="55"/>
      <c r="F43" s="55"/>
      <c r="G43" s="55"/>
      <c r="H43" s="92"/>
      <c r="I43" s="55"/>
      <c r="J43" s="115"/>
      <c r="K43" s="55"/>
      <c r="M43" s="109">
        <v>289860</v>
      </c>
    </row>
    <row r="44" spans="1:14" ht="18" customHeight="1">
      <c r="A44" s="55"/>
      <c r="B44" s="55"/>
      <c r="C44" s="55"/>
      <c r="D44" s="55"/>
      <c r="E44" s="55"/>
      <c r="F44" s="55"/>
      <c r="G44" s="55"/>
      <c r="H44" s="55"/>
      <c r="I44" s="55"/>
      <c r="J44" s="115"/>
      <c r="K44" s="92">
        <f>SUM(E40:F40)</f>
        <v>222641.5</v>
      </c>
      <c r="M44" s="109">
        <f>SUM(M41:M43)</f>
        <v>5860428.9700000007</v>
      </c>
      <c r="N44" s="173">
        <f>SUM(L40+M44)</f>
        <v>10782218.970000001</v>
      </c>
    </row>
    <row r="45" spans="1:14">
      <c r="A45" s="55" t="s">
        <v>83</v>
      </c>
      <c r="B45" s="55"/>
      <c r="C45" s="55"/>
      <c r="D45" s="55"/>
      <c r="E45" s="55"/>
      <c r="F45" s="55"/>
      <c r="G45" s="55"/>
      <c r="H45" s="55" t="s">
        <v>29</v>
      </c>
      <c r="I45" s="55"/>
      <c r="J45" s="115"/>
      <c r="K45" s="55"/>
      <c r="L45" s="109">
        <v>752760</v>
      </c>
    </row>
    <row r="46" spans="1:14">
      <c r="A46" s="55"/>
      <c r="B46" s="55"/>
      <c r="C46" s="55"/>
      <c r="D46" s="55"/>
      <c r="E46" s="55"/>
      <c r="F46" s="55"/>
      <c r="G46" s="55"/>
      <c r="H46" s="55"/>
      <c r="I46" s="55"/>
      <c r="J46" s="115"/>
      <c r="K46" s="55"/>
      <c r="L46" s="109">
        <v>902075</v>
      </c>
    </row>
    <row r="47" spans="1:14">
      <c r="A47" s="55"/>
      <c r="B47" s="55"/>
      <c r="C47" s="55"/>
      <c r="D47" s="55"/>
      <c r="E47" s="55"/>
      <c r="F47" s="55"/>
      <c r="G47" s="55"/>
      <c r="H47" s="172"/>
      <c r="I47" s="55"/>
      <c r="J47" s="115"/>
      <c r="K47" s="55"/>
      <c r="L47" s="109">
        <v>1032329.7</v>
      </c>
      <c r="M47" s="109">
        <v>1897753.11</v>
      </c>
    </row>
    <row r="48" spans="1:14">
      <c r="A48" s="55" t="s">
        <v>84</v>
      </c>
      <c r="B48" s="55"/>
      <c r="C48" s="55"/>
      <c r="D48" s="55"/>
      <c r="E48" s="55"/>
      <c r="F48" s="55"/>
      <c r="G48" s="55"/>
      <c r="H48" s="140" t="s">
        <v>72</v>
      </c>
      <c r="I48" s="55"/>
      <c r="J48" s="115"/>
      <c r="K48" s="55"/>
      <c r="L48" s="109">
        <v>504234.65</v>
      </c>
      <c r="M48" s="109">
        <v>8736531.7100000009</v>
      </c>
    </row>
    <row r="49" spans="1:13">
      <c r="A49" s="140" t="s">
        <v>86</v>
      </c>
      <c r="B49" s="55"/>
      <c r="C49" s="55"/>
      <c r="D49" s="55"/>
      <c r="E49" s="55"/>
      <c r="F49" s="55"/>
      <c r="G49" s="55"/>
      <c r="H49" s="140" t="s">
        <v>85</v>
      </c>
      <c r="I49" s="55"/>
      <c r="J49" s="115"/>
      <c r="K49" s="55"/>
      <c r="L49" s="109">
        <v>899145</v>
      </c>
      <c r="M49" s="109">
        <v>10140</v>
      </c>
    </row>
    <row r="50" spans="1:13">
      <c r="A50" s="55"/>
      <c r="B50" s="55"/>
      <c r="C50" s="55"/>
      <c r="D50" s="55"/>
      <c r="E50" s="121"/>
      <c r="F50" s="55"/>
      <c r="G50" s="55"/>
      <c r="H50" s="55"/>
      <c r="I50" s="55"/>
      <c r="J50" s="115"/>
      <c r="K50" s="55"/>
      <c r="L50" s="109">
        <v>1087927.3999999999</v>
      </c>
      <c r="M50" s="109">
        <f>SUM(M47:M49)</f>
        <v>10644424.82</v>
      </c>
    </row>
    <row r="51" spans="1:13">
      <c r="A51" s="55"/>
      <c r="B51" s="55"/>
      <c r="C51" s="55"/>
      <c r="D51" s="55"/>
      <c r="E51" s="115"/>
      <c r="F51" s="55"/>
      <c r="G51" s="55"/>
      <c r="H51" s="55"/>
      <c r="I51" s="115"/>
      <c r="J51" s="115"/>
      <c r="K51" s="55"/>
      <c r="L51" s="109">
        <v>2896515.5</v>
      </c>
    </row>
    <row r="52" spans="1:13">
      <c r="A52" s="55"/>
      <c r="B52" s="55"/>
      <c r="C52" s="55"/>
      <c r="D52" s="55"/>
      <c r="E52" s="55"/>
      <c r="F52" s="55"/>
      <c r="G52" s="55"/>
      <c r="H52" s="55"/>
      <c r="I52" s="115"/>
      <c r="J52" s="115"/>
      <c r="K52" s="55"/>
      <c r="L52" s="109">
        <v>120000</v>
      </c>
    </row>
    <row r="53" spans="1:13">
      <c r="I53" s="109"/>
      <c r="M53" s="46"/>
    </row>
    <row r="54" spans="1:13">
      <c r="F54" s="121">
        <f>F18-F55</f>
        <v>-1836152.8592499997</v>
      </c>
      <c r="I54" s="109"/>
      <c r="K54" s="55"/>
      <c r="L54" s="115">
        <v>630000</v>
      </c>
      <c r="M54" s="183">
        <v>10644424.82</v>
      </c>
    </row>
    <row r="55" spans="1:13">
      <c r="F55" s="115">
        <f>49980+103610+255752.8+265335+81917.75+32889+315132+287135.25+143400+640002.5</f>
        <v>2175154.2999999998</v>
      </c>
      <c r="I55" s="109"/>
      <c r="J55" s="109">
        <v>7850000</v>
      </c>
      <c r="L55" s="109">
        <v>1000000</v>
      </c>
      <c r="M55" s="183">
        <v>13157941.960000001</v>
      </c>
    </row>
    <row r="56" spans="1:13">
      <c r="I56" s="109"/>
      <c r="J56" s="109">
        <v>800000</v>
      </c>
      <c r="L56" s="109">
        <v>1300000</v>
      </c>
      <c r="M56" s="184">
        <v>0</v>
      </c>
    </row>
    <row r="57" spans="1:13">
      <c r="I57" s="109"/>
      <c r="J57" s="109">
        <v>1200000</v>
      </c>
      <c r="L57" s="109">
        <v>2000000</v>
      </c>
      <c r="M57" s="183">
        <f>SUM(M54:M56)</f>
        <v>23802366.780000001</v>
      </c>
    </row>
    <row r="58" spans="1:13">
      <c r="I58" s="109"/>
      <c r="J58" s="109">
        <v>3500000</v>
      </c>
      <c r="L58" s="109">
        <v>150000</v>
      </c>
      <c r="M58" s="183">
        <v>24092226.780000001</v>
      </c>
    </row>
    <row r="59" spans="1:13">
      <c r="I59" s="109">
        <v>100000</v>
      </c>
      <c r="J59" s="116">
        <f>SUM(J55:J58)</f>
        <v>13350000</v>
      </c>
      <c r="L59" s="109">
        <v>4590281.96</v>
      </c>
      <c r="M59" s="183">
        <f>M58-M57</f>
        <v>289860</v>
      </c>
    </row>
    <row r="60" spans="1:13">
      <c r="I60" s="109">
        <v>4589687.1100000003</v>
      </c>
      <c r="J60" s="109">
        <v>16829861.079999998</v>
      </c>
      <c r="L60" s="109">
        <f>SUM(L54:L59)</f>
        <v>9670281.9600000009</v>
      </c>
      <c r="M60" s="46"/>
    </row>
    <row r="61" spans="1:13">
      <c r="I61" s="116">
        <f>SUM(I55:I60)</f>
        <v>4689687.1100000003</v>
      </c>
      <c r="J61" s="109">
        <f>J59-J60</f>
        <v>-3479861.0799999982</v>
      </c>
      <c r="M61" s="109">
        <v>24416573.030000001</v>
      </c>
    </row>
    <row r="62" spans="1:13">
      <c r="I62" s="109">
        <v>7212797.6100000003</v>
      </c>
      <c r="M62" s="109">
        <v>24708913.030000001</v>
      </c>
    </row>
    <row r="63" spans="1:13">
      <c r="I63" s="109">
        <f>I61-I62</f>
        <v>-2523110.5</v>
      </c>
      <c r="M63" s="109">
        <f>M61-M62</f>
        <v>-292340</v>
      </c>
    </row>
    <row r="64" spans="1:13">
      <c r="I64" s="109"/>
      <c r="M64" s="109">
        <v>289860</v>
      </c>
    </row>
    <row r="65" spans="1:13">
      <c r="I65" s="109"/>
      <c r="J65" s="109">
        <v>25346381.800000001</v>
      </c>
      <c r="M65" s="173">
        <f>SUM(M63:M64)</f>
        <v>-2480</v>
      </c>
    </row>
    <row r="66" spans="1:13">
      <c r="I66" s="109"/>
      <c r="J66" s="109">
        <v>24042658.690000001</v>
      </c>
      <c r="M66" s="46"/>
    </row>
    <row r="67" spans="1:13">
      <c r="I67" s="109"/>
      <c r="J67" s="109">
        <f>J65-J66</f>
        <v>1303723.1099999994</v>
      </c>
      <c r="L67" s="109">
        <v>400000</v>
      </c>
      <c r="M67" s="46"/>
    </row>
    <row r="68" spans="1:13">
      <c r="I68" s="109"/>
      <c r="L68" s="109">
        <v>1000000</v>
      </c>
      <c r="M68" s="109">
        <v>25279.7</v>
      </c>
    </row>
    <row r="69" spans="1:13">
      <c r="I69" s="109"/>
      <c r="M69" s="109">
        <v>27759.7</v>
      </c>
    </row>
    <row r="70" spans="1:13">
      <c r="H70" s="109"/>
      <c r="I70" s="109"/>
      <c r="M70" s="173">
        <f>M68-M69</f>
        <v>-2480</v>
      </c>
    </row>
    <row r="71" spans="1:13">
      <c r="H71" s="109">
        <v>4455551.57</v>
      </c>
      <c r="I71" s="109"/>
      <c r="J71" s="109">
        <v>17496381.800000001</v>
      </c>
      <c r="M71" s="46"/>
    </row>
    <row r="72" spans="1:13">
      <c r="H72" s="109">
        <v>5760963.6399999997</v>
      </c>
      <c r="I72" s="109"/>
      <c r="J72" s="109">
        <v>7850000</v>
      </c>
      <c r="M72" s="46"/>
    </row>
    <row r="73" spans="1:13">
      <c r="H73" s="109">
        <f>SUM(H71:H72)</f>
        <v>10216515.210000001</v>
      </c>
      <c r="I73" s="109"/>
      <c r="J73" s="109">
        <f>SUM(J71:J72)</f>
        <v>25346381.800000001</v>
      </c>
      <c r="M73" s="46"/>
    </row>
    <row r="74" spans="1:13" s="109" customFormat="1">
      <c r="A74" s="46"/>
      <c r="B74" s="46"/>
      <c r="C74" s="46"/>
      <c r="D74" s="46"/>
      <c r="E74" s="46"/>
      <c r="F74" s="46"/>
      <c r="G74" s="46"/>
    </row>
    <row r="75" spans="1:13" s="109" customFormat="1">
      <c r="A75" s="46"/>
      <c r="B75" s="46"/>
      <c r="C75" s="46"/>
      <c r="D75" s="46"/>
      <c r="E75" s="46"/>
      <c r="F75" s="46"/>
      <c r="G75" s="46"/>
    </row>
    <row r="76" spans="1:13" s="109" customFormat="1">
      <c r="A76" s="46"/>
      <c r="B76" s="46"/>
      <c r="C76" s="46"/>
      <c r="D76" s="46"/>
      <c r="E76" s="46"/>
      <c r="F76" s="46"/>
      <c r="G76" s="46"/>
    </row>
    <row r="77" spans="1:13" s="109" customFormat="1">
      <c r="A77" s="46"/>
      <c r="B77" s="46"/>
      <c r="C77" s="46"/>
      <c r="D77" s="46"/>
      <c r="E77" s="46"/>
      <c r="F77" s="46"/>
      <c r="G77" s="46"/>
    </row>
    <row r="78" spans="1:13" s="109" customFormat="1">
      <c r="A78" s="46"/>
      <c r="B78" s="46"/>
      <c r="C78" s="46"/>
      <c r="D78" s="46"/>
      <c r="E78" s="46"/>
      <c r="F78" s="46"/>
      <c r="G78" s="46"/>
    </row>
    <row r="79" spans="1:13" s="109" customFormat="1">
      <c r="A79" s="46"/>
      <c r="B79" s="46"/>
      <c r="C79" s="46"/>
      <c r="D79" s="46"/>
      <c r="E79" s="46"/>
      <c r="F79" s="46"/>
      <c r="G79" s="46"/>
    </row>
    <row r="80" spans="1:13" s="109" customFormat="1">
      <c r="A80" s="46"/>
      <c r="B80" s="46"/>
      <c r="C80" s="46"/>
      <c r="D80" s="46"/>
      <c r="E80" s="46"/>
      <c r="F80" s="46"/>
      <c r="G80" s="46"/>
      <c r="H80" s="46"/>
    </row>
    <row r="81" spans="1:11" s="109" customFormat="1">
      <c r="A81" s="46"/>
      <c r="B81" s="46"/>
      <c r="C81" s="46"/>
      <c r="D81" s="46"/>
      <c r="E81" s="46"/>
      <c r="F81" s="46"/>
      <c r="G81" s="46"/>
      <c r="H81" s="46"/>
    </row>
    <row r="82" spans="1:11" s="109" customFormat="1">
      <c r="A82" s="46"/>
      <c r="B82" s="46"/>
      <c r="C82" s="46"/>
      <c r="D82" s="46"/>
      <c r="E82" s="46"/>
      <c r="F82" s="46"/>
      <c r="G82" s="46"/>
      <c r="H82" s="46"/>
    </row>
    <row r="83" spans="1:11" s="109" customFormat="1">
      <c r="A83" s="46"/>
      <c r="B83" s="46"/>
      <c r="C83" s="46"/>
      <c r="D83" s="46"/>
      <c r="E83" s="46"/>
      <c r="F83" s="46"/>
      <c r="G83" s="46"/>
      <c r="H83" s="46"/>
    </row>
    <row r="84" spans="1:11" s="109" customFormat="1">
      <c r="A84" s="46"/>
      <c r="B84" s="46"/>
      <c r="C84" s="46"/>
      <c r="D84" s="46"/>
      <c r="E84" s="46"/>
      <c r="F84" s="46"/>
      <c r="G84" s="46"/>
      <c r="H84" s="46"/>
      <c r="K84" s="46"/>
    </row>
    <row r="85" spans="1:11" s="109" customFormat="1">
      <c r="A85" s="46"/>
      <c r="B85" s="46"/>
      <c r="C85" s="46"/>
      <c r="D85" s="46"/>
      <c r="E85" s="46"/>
      <c r="F85" s="46"/>
      <c r="G85" s="46"/>
      <c r="H85" s="46"/>
      <c r="K85" s="46"/>
    </row>
    <row r="86" spans="1:11" s="109" customFormat="1">
      <c r="A86" s="46"/>
      <c r="B86" s="46"/>
      <c r="C86" s="46"/>
      <c r="D86" s="46"/>
      <c r="E86" s="46"/>
      <c r="F86" s="46"/>
      <c r="G86" s="46"/>
      <c r="H86" s="46"/>
      <c r="K86" s="46"/>
    </row>
    <row r="87" spans="1:11" s="109" customFormat="1">
      <c r="A87" s="46"/>
      <c r="B87" s="46"/>
      <c r="C87" s="46"/>
      <c r="D87" s="46"/>
      <c r="E87" s="46"/>
      <c r="F87" s="46"/>
      <c r="G87" s="46"/>
      <c r="H87" s="46"/>
      <c r="K87" s="46"/>
    </row>
    <row r="88" spans="1:11" s="109" customFormat="1">
      <c r="A88" s="46"/>
      <c r="B88" s="46"/>
      <c r="C88" s="46"/>
      <c r="D88" s="46"/>
      <c r="E88" s="46"/>
      <c r="F88" s="46"/>
      <c r="G88" s="46"/>
      <c r="H88" s="46"/>
      <c r="K88" s="46"/>
    </row>
    <row r="89" spans="1:11" s="109" customFormat="1">
      <c r="A89" s="46"/>
      <c r="B89" s="46"/>
      <c r="C89" s="46"/>
      <c r="D89" s="46"/>
      <c r="E89" s="46"/>
      <c r="F89" s="46"/>
      <c r="G89" s="46"/>
      <c r="H89" s="46"/>
      <c r="K89" s="46"/>
    </row>
    <row r="90" spans="1:11" s="109" customFormat="1">
      <c r="A90" s="46"/>
      <c r="B90" s="46"/>
      <c r="C90" s="46"/>
      <c r="D90" s="46"/>
      <c r="E90" s="46"/>
      <c r="F90" s="46"/>
      <c r="G90" s="46"/>
      <c r="H90" s="46"/>
      <c r="K90" s="46"/>
    </row>
    <row r="91" spans="1:11" s="109" customFormat="1">
      <c r="A91" s="46"/>
      <c r="B91" s="46"/>
      <c r="C91" s="46"/>
      <c r="D91" s="46"/>
      <c r="E91" s="46"/>
      <c r="F91" s="46"/>
      <c r="G91" s="46"/>
      <c r="H91" s="46"/>
      <c r="K91" s="46"/>
    </row>
    <row r="92" spans="1:11" s="109" customFormat="1">
      <c r="A92" s="46"/>
      <c r="B92" s="46"/>
      <c r="C92" s="46"/>
      <c r="D92" s="46"/>
      <c r="E92" s="46"/>
      <c r="F92" s="46"/>
      <c r="G92" s="46"/>
      <c r="H92" s="46"/>
      <c r="K92" s="46"/>
    </row>
    <row r="93" spans="1:11" s="109" customFormat="1">
      <c r="A93" s="46"/>
      <c r="B93" s="46"/>
      <c r="C93" s="46"/>
      <c r="D93" s="46"/>
      <c r="E93" s="46"/>
      <c r="F93" s="46"/>
      <c r="G93" s="46"/>
      <c r="H93" s="46"/>
      <c r="K93" s="46"/>
    </row>
    <row r="94" spans="1:11" s="109" customFormat="1">
      <c r="A94" s="46"/>
      <c r="B94" s="46"/>
      <c r="C94" s="46"/>
      <c r="D94" s="46"/>
      <c r="E94" s="46"/>
      <c r="F94" s="46"/>
      <c r="G94" s="46"/>
      <c r="H94" s="46"/>
      <c r="K94" s="46"/>
    </row>
    <row r="95" spans="1:11" s="109" customFormat="1">
      <c r="A95" s="46"/>
      <c r="B95" s="46"/>
      <c r="C95" s="46"/>
      <c r="D95" s="46"/>
      <c r="E95" s="46"/>
      <c r="F95" s="46"/>
      <c r="G95" s="46"/>
      <c r="H95" s="46"/>
      <c r="K95" s="46"/>
    </row>
    <row r="96" spans="1:11" s="109" customFormat="1">
      <c r="A96" s="46"/>
      <c r="B96" s="46"/>
      <c r="C96" s="46"/>
      <c r="D96" s="46"/>
      <c r="E96" s="46"/>
      <c r="F96" s="46"/>
      <c r="G96" s="46"/>
      <c r="H96" s="46"/>
      <c r="K96" s="46"/>
    </row>
    <row r="97" spans="1:11" s="109" customFormat="1">
      <c r="A97" s="46"/>
      <c r="B97" s="46"/>
      <c r="C97" s="46"/>
      <c r="D97" s="46"/>
      <c r="E97" s="46"/>
      <c r="F97" s="46"/>
      <c r="G97" s="46"/>
      <c r="H97" s="46"/>
      <c r="K97" s="46"/>
    </row>
    <row r="98" spans="1:11" s="109" customFormat="1">
      <c r="A98" s="46"/>
      <c r="B98" s="46"/>
      <c r="C98" s="46"/>
      <c r="D98" s="46"/>
      <c r="E98" s="46"/>
      <c r="F98" s="46"/>
      <c r="G98" s="46"/>
      <c r="H98" s="46"/>
      <c r="K98" s="46"/>
    </row>
    <row r="99" spans="1:11" s="109" customFormat="1">
      <c r="A99" s="46"/>
      <c r="B99" s="46"/>
      <c r="C99" s="46"/>
      <c r="D99" s="46"/>
      <c r="E99" s="46"/>
      <c r="F99" s="46"/>
      <c r="G99" s="46"/>
      <c r="H99" s="46"/>
      <c r="K99" s="46"/>
    </row>
    <row r="100" spans="1:11" s="109" customFormat="1">
      <c r="A100" s="46"/>
      <c r="B100" s="46"/>
      <c r="C100" s="46"/>
      <c r="D100" s="46"/>
      <c r="E100" s="46"/>
      <c r="F100" s="46"/>
      <c r="G100" s="46"/>
      <c r="H100" s="46"/>
      <c r="K100" s="46"/>
    </row>
    <row r="101" spans="1:11" s="109" customFormat="1">
      <c r="A101" s="46"/>
      <c r="B101" s="46"/>
      <c r="C101" s="46"/>
      <c r="D101" s="46"/>
      <c r="E101" s="46"/>
      <c r="F101" s="46"/>
      <c r="G101" s="46"/>
      <c r="H101" s="46"/>
      <c r="K101" s="46"/>
    </row>
    <row r="102" spans="1:11" s="109" customFormat="1">
      <c r="A102" s="46"/>
      <c r="B102" s="46"/>
      <c r="C102" s="46"/>
      <c r="D102" s="46"/>
      <c r="E102" s="46"/>
      <c r="F102" s="46"/>
      <c r="G102" s="46"/>
      <c r="H102" s="46"/>
      <c r="K102" s="46"/>
    </row>
    <row r="103" spans="1:11" s="109" customFormat="1">
      <c r="A103" s="46"/>
      <c r="B103" s="46"/>
      <c r="C103" s="46"/>
      <c r="D103" s="46"/>
      <c r="E103" s="46"/>
      <c r="F103" s="46"/>
      <c r="G103" s="46"/>
      <c r="H103" s="46"/>
      <c r="K103" s="46"/>
    </row>
    <row r="104" spans="1:11" s="109" customFormat="1">
      <c r="A104" s="46"/>
      <c r="B104" s="46"/>
      <c r="C104" s="46"/>
      <c r="D104" s="46"/>
      <c r="E104" s="46"/>
      <c r="F104" s="46"/>
      <c r="G104" s="46"/>
      <c r="H104" s="46"/>
      <c r="K104" s="46"/>
    </row>
    <row r="105" spans="1:11" s="109" customFormat="1">
      <c r="A105" s="46"/>
      <c r="B105" s="46"/>
      <c r="C105" s="46"/>
      <c r="D105" s="46"/>
      <c r="E105" s="46"/>
      <c r="F105" s="46"/>
      <c r="G105" s="46"/>
      <c r="H105" s="46"/>
      <c r="K105" s="46"/>
    </row>
    <row r="106" spans="1:11" s="109" customFormat="1">
      <c r="A106" s="46"/>
      <c r="B106" s="46"/>
      <c r="C106" s="46"/>
      <c r="D106" s="46"/>
      <c r="E106" s="46"/>
      <c r="F106" s="46"/>
      <c r="G106" s="46"/>
      <c r="H106" s="46"/>
      <c r="K106" s="46"/>
    </row>
    <row r="107" spans="1:11" s="109" customFormat="1">
      <c r="A107" s="46"/>
      <c r="B107" s="46"/>
      <c r="C107" s="46"/>
      <c r="D107" s="46"/>
      <c r="E107" s="46"/>
      <c r="F107" s="46"/>
      <c r="G107" s="46"/>
      <c r="H107" s="46"/>
      <c r="K107" s="46"/>
    </row>
    <row r="108" spans="1:11" s="109" customFormat="1">
      <c r="A108" s="46"/>
      <c r="B108" s="46"/>
      <c r="C108" s="46"/>
      <c r="D108" s="46"/>
      <c r="E108" s="46"/>
      <c r="F108" s="46"/>
      <c r="G108" s="46"/>
      <c r="H108" s="46"/>
      <c r="K108" s="46"/>
    </row>
    <row r="109" spans="1:11" s="109" customFormat="1">
      <c r="A109" s="46"/>
      <c r="B109" s="46"/>
      <c r="C109" s="46"/>
      <c r="D109" s="46"/>
      <c r="E109" s="46"/>
      <c r="F109" s="46"/>
      <c r="G109" s="46"/>
      <c r="H109" s="46"/>
      <c r="K109" s="46"/>
    </row>
    <row r="110" spans="1:11" s="109" customFormat="1">
      <c r="A110" s="46"/>
      <c r="B110" s="46"/>
      <c r="C110" s="46"/>
      <c r="D110" s="46"/>
      <c r="E110" s="46"/>
      <c r="F110" s="46"/>
      <c r="G110" s="46"/>
      <c r="H110" s="46"/>
      <c r="K110" s="46"/>
    </row>
    <row r="111" spans="1:11" s="109" customFormat="1">
      <c r="A111" s="46"/>
      <c r="B111" s="46"/>
      <c r="C111" s="46"/>
      <c r="D111" s="46"/>
      <c r="E111" s="46"/>
      <c r="F111" s="46"/>
      <c r="G111" s="46"/>
      <c r="H111" s="46"/>
      <c r="K111" s="46"/>
    </row>
    <row r="112" spans="1:11" s="109" customFormat="1">
      <c r="A112" s="46"/>
      <c r="B112" s="46"/>
      <c r="C112" s="46"/>
      <c r="D112" s="46"/>
      <c r="E112" s="46"/>
      <c r="F112" s="46"/>
      <c r="G112" s="46"/>
      <c r="H112" s="46"/>
      <c r="K112" s="46"/>
    </row>
    <row r="113" spans="1:11" s="109" customFormat="1">
      <c r="A113" s="46"/>
      <c r="B113" s="46"/>
      <c r="C113" s="46"/>
      <c r="D113" s="46"/>
      <c r="E113" s="46"/>
      <c r="F113" s="46"/>
      <c r="G113" s="46"/>
      <c r="H113" s="46"/>
      <c r="K113" s="46"/>
    </row>
    <row r="114" spans="1:11" s="109" customFormat="1">
      <c r="A114" s="46"/>
      <c r="B114" s="46"/>
      <c r="C114" s="46"/>
      <c r="D114" s="46"/>
      <c r="E114" s="46"/>
      <c r="F114" s="46"/>
      <c r="G114" s="46"/>
      <c r="H114" s="46"/>
      <c r="K114" s="46"/>
    </row>
    <row r="115" spans="1:11" s="109" customFormat="1">
      <c r="A115" s="46"/>
      <c r="B115" s="46"/>
      <c r="C115" s="46"/>
      <c r="D115" s="46"/>
      <c r="E115" s="46"/>
      <c r="F115" s="46"/>
      <c r="G115" s="46"/>
      <c r="H115" s="46"/>
      <c r="K115" s="46"/>
    </row>
    <row r="116" spans="1:11" s="109" customFormat="1">
      <c r="A116" s="46"/>
      <c r="B116" s="46"/>
      <c r="C116" s="46"/>
      <c r="D116" s="46"/>
      <c r="E116" s="46"/>
      <c r="F116" s="46"/>
      <c r="G116" s="46"/>
      <c r="H116" s="46"/>
      <c r="K116" s="46"/>
    </row>
    <row r="117" spans="1:11" s="109" customFormat="1">
      <c r="A117" s="46"/>
      <c r="B117" s="46"/>
      <c r="C117" s="46"/>
      <c r="D117" s="46"/>
      <c r="E117" s="46"/>
      <c r="F117" s="46"/>
      <c r="G117" s="46"/>
      <c r="H117" s="46"/>
      <c r="K117" s="46"/>
    </row>
    <row r="118" spans="1:11" s="109" customFormat="1">
      <c r="A118" s="46"/>
      <c r="B118" s="46"/>
      <c r="C118" s="46"/>
      <c r="D118" s="46"/>
      <c r="E118" s="46"/>
      <c r="F118" s="46"/>
      <c r="G118" s="46"/>
      <c r="H118" s="46"/>
      <c r="K118" s="46"/>
    </row>
    <row r="119" spans="1:11" s="109" customFormat="1">
      <c r="A119" s="46"/>
      <c r="B119" s="46"/>
      <c r="C119" s="46"/>
      <c r="D119" s="46"/>
      <c r="E119" s="46"/>
      <c r="F119" s="46"/>
      <c r="G119" s="46"/>
      <c r="H119" s="46"/>
      <c r="K119" s="46"/>
    </row>
    <row r="120" spans="1:11" s="109" customFormat="1">
      <c r="A120" s="46"/>
      <c r="B120" s="46"/>
      <c r="C120" s="46"/>
      <c r="D120" s="46"/>
      <c r="E120" s="46"/>
      <c r="F120" s="46"/>
      <c r="G120" s="46"/>
      <c r="H120" s="46"/>
      <c r="K120" s="46"/>
    </row>
    <row r="121" spans="1:11" s="109" customFormat="1">
      <c r="A121" s="46"/>
      <c r="B121" s="46"/>
      <c r="C121" s="46"/>
      <c r="D121" s="46"/>
      <c r="E121" s="46"/>
      <c r="F121" s="46"/>
      <c r="G121" s="46"/>
      <c r="H121" s="46"/>
      <c r="K121" s="46"/>
    </row>
    <row r="122" spans="1:11" s="109" customFormat="1">
      <c r="A122" s="46"/>
      <c r="B122" s="46"/>
      <c r="C122" s="46"/>
      <c r="D122" s="46"/>
      <c r="E122" s="46"/>
      <c r="F122" s="46"/>
      <c r="G122" s="46"/>
      <c r="H122" s="46"/>
      <c r="K122" s="46"/>
    </row>
    <row r="123" spans="1:11" s="109" customFormat="1">
      <c r="A123" s="46"/>
      <c r="B123" s="46"/>
      <c r="C123" s="46"/>
      <c r="D123" s="46"/>
      <c r="E123" s="46"/>
      <c r="F123" s="46"/>
      <c r="G123" s="46"/>
      <c r="H123" s="46"/>
      <c r="K123" s="46"/>
    </row>
    <row r="124" spans="1:11" s="109" customFormat="1">
      <c r="A124" s="46"/>
      <c r="B124" s="46"/>
      <c r="C124" s="46"/>
      <c r="D124" s="46"/>
      <c r="E124" s="46"/>
      <c r="F124" s="46"/>
      <c r="G124" s="46"/>
      <c r="H124" s="46"/>
      <c r="K124" s="46"/>
    </row>
    <row r="125" spans="1:11" s="109" customFormat="1">
      <c r="A125" s="46"/>
      <c r="B125" s="46"/>
      <c r="C125" s="46"/>
      <c r="D125" s="46"/>
      <c r="E125" s="46"/>
      <c r="F125" s="46"/>
      <c r="G125" s="46"/>
      <c r="H125" s="46"/>
      <c r="K125" s="46"/>
    </row>
    <row r="126" spans="1:11" s="109" customFormat="1">
      <c r="A126" s="46"/>
      <c r="B126" s="46"/>
      <c r="C126" s="46"/>
      <c r="D126" s="46"/>
      <c r="E126" s="46"/>
      <c r="F126" s="46"/>
      <c r="G126" s="46"/>
      <c r="H126" s="46"/>
      <c r="K126" s="46"/>
    </row>
    <row r="127" spans="1:11" s="109" customFormat="1">
      <c r="A127" s="46"/>
      <c r="B127" s="46"/>
      <c r="C127" s="46"/>
      <c r="D127" s="46"/>
      <c r="E127" s="46"/>
      <c r="F127" s="46"/>
      <c r="G127" s="46"/>
      <c r="H127" s="46"/>
      <c r="K127" s="46"/>
    </row>
    <row r="128" spans="1:11" s="109" customFormat="1">
      <c r="A128" s="46"/>
      <c r="B128" s="46"/>
      <c r="C128" s="46"/>
      <c r="D128" s="46"/>
      <c r="E128" s="46"/>
      <c r="F128" s="46"/>
      <c r="G128" s="46"/>
      <c r="H128" s="46"/>
      <c r="K128" s="46"/>
    </row>
    <row r="129" spans="1:11" s="109" customFormat="1">
      <c r="A129" s="46"/>
      <c r="B129" s="46"/>
      <c r="C129" s="46"/>
      <c r="D129" s="46"/>
      <c r="E129" s="46"/>
      <c r="F129" s="46"/>
      <c r="G129" s="46"/>
      <c r="H129" s="46"/>
      <c r="K129" s="46"/>
    </row>
    <row r="130" spans="1:11" s="109" customFormat="1">
      <c r="A130" s="46"/>
      <c r="B130" s="46"/>
      <c r="C130" s="46"/>
      <c r="D130" s="46"/>
      <c r="E130" s="46"/>
      <c r="F130" s="46"/>
      <c r="G130" s="46"/>
      <c r="H130" s="46"/>
      <c r="K130" s="46"/>
    </row>
    <row r="131" spans="1:11" s="109" customFormat="1">
      <c r="A131" s="46"/>
      <c r="B131" s="46"/>
      <c r="C131" s="46"/>
      <c r="D131" s="46"/>
      <c r="E131" s="46"/>
      <c r="F131" s="46"/>
      <c r="G131" s="46"/>
      <c r="H131" s="46"/>
      <c r="K131" s="46"/>
    </row>
    <row r="132" spans="1:11" s="109" customFormat="1">
      <c r="A132" s="46"/>
      <c r="B132" s="46"/>
      <c r="C132" s="46"/>
      <c r="D132" s="46"/>
      <c r="E132" s="46"/>
      <c r="F132" s="46"/>
      <c r="G132" s="46"/>
      <c r="H132" s="46"/>
      <c r="K132" s="46"/>
    </row>
    <row r="133" spans="1:11" s="109" customFormat="1">
      <c r="A133" s="46"/>
      <c r="B133" s="46"/>
      <c r="C133" s="46"/>
      <c r="D133" s="46"/>
      <c r="E133" s="46"/>
      <c r="F133" s="46"/>
      <c r="G133" s="46"/>
      <c r="H133" s="46"/>
      <c r="K133" s="46"/>
    </row>
    <row r="134" spans="1:11" s="109" customFormat="1">
      <c r="A134" s="46"/>
      <c r="B134" s="46"/>
      <c r="C134" s="46"/>
      <c r="D134" s="46"/>
      <c r="E134" s="46"/>
      <c r="F134" s="46"/>
      <c r="G134" s="46"/>
      <c r="H134" s="46"/>
      <c r="K134" s="46"/>
    </row>
    <row r="135" spans="1:11" s="109" customFormat="1">
      <c r="A135" s="46"/>
      <c r="B135" s="46"/>
      <c r="C135" s="46"/>
      <c r="D135" s="46"/>
      <c r="E135" s="46"/>
      <c r="F135" s="46"/>
      <c r="G135" s="46"/>
      <c r="H135" s="46"/>
      <c r="K135" s="46"/>
    </row>
    <row r="136" spans="1:11" s="109" customFormat="1">
      <c r="A136" s="46"/>
      <c r="B136" s="46"/>
      <c r="C136" s="46"/>
      <c r="D136" s="46"/>
      <c r="E136" s="46"/>
      <c r="F136" s="46"/>
      <c r="G136" s="46"/>
      <c r="H136" s="46"/>
      <c r="K136" s="46"/>
    </row>
    <row r="137" spans="1:11" s="109" customFormat="1">
      <c r="A137" s="46"/>
      <c r="B137" s="46"/>
      <c r="C137" s="46"/>
      <c r="D137" s="46"/>
      <c r="E137" s="46"/>
      <c r="F137" s="46"/>
      <c r="G137" s="46"/>
      <c r="H137" s="46"/>
      <c r="K137" s="46"/>
    </row>
    <row r="138" spans="1:11" s="109" customFormat="1">
      <c r="A138" s="46"/>
      <c r="B138" s="46"/>
      <c r="C138" s="46"/>
      <c r="D138" s="46"/>
      <c r="E138" s="46"/>
      <c r="F138" s="46"/>
      <c r="G138" s="46"/>
      <c r="H138" s="46"/>
      <c r="K138" s="46"/>
    </row>
    <row r="139" spans="1:11" s="109" customFormat="1">
      <c r="A139" s="46"/>
      <c r="B139" s="46"/>
      <c r="C139" s="46"/>
      <c r="D139" s="46"/>
      <c r="E139" s="46"/>
      <c r="F139" s="46"/>
      <c r="G139" s="46"/>
      <c r="H139" s="46"/>
      <c r="K139" s="46"/>
    </row>
    <row r="140" spans="1:11" s="109" customFormat="1">
      <c r="A140" s="46"/>
      <c r="B140" s="46"/>
      <c r="C140" s="46"/>
      <c r="D140" s="46"/>
      <c r="E140" s="46"/>
      <c r="F140" s="46"/>
      <c r="G140" s="46"/>
      <c r="H140" s="46"/>
      <c r="K140" s="46"/>
    </row>
    <row r="141" spans="1:11" s="109" customFormat="1">
      <c r="A141" s="46"/>
      <c r="B141" s="46"/>
      <c r="C141" s="46"/>
      <c r="D141" s="46"/>
      <c r="E141" s="46"/>
      <c r="F141" s="46"/>
      <c r="G141" s="46"/>
      <c r="H141" s="46"/>
      <c r="K141" s="46"/>
    </row>
    <row r="142" spans="1:11" s="109" customFormat="1">
      <c r="A142" s="46"/>
      <c r="B142" s="46"/>
      <c r="C142" s="46"/>
      <c r="D142" s="46"/>
      <c r="E142" s="46"/>
      <c r="F142" s="46"/>
      <c r="G142" s="46"/>
      <c r="H142" s="46"/>
      <c r="K142" s="46"/>
    </row>
    <row r="143" spans="1:11" s="109" customFormat="1">
      <c r="A143" s="46"/>
      <c r="B143" s="46"/>
      <c r="C143" s="46"/>
      <c r="D143" s="46"/>
      <c r="E143" s="46"/>
      <c r="F143" s="46"/>
      <c r="G143" s="46"/>
      <c r="H143" s="46"/>
      <c r="K143" s="46"/>
    </row>
    <row r="144" spans="1:11" s="109" customFormat="1">
      <c r="A144" s="46"/>
      <c r="B144" s="46"/>
      <c r="C144" s="46"/>
      <c r="D144" s="46"/>
      <c r="E144" s="46"/>
      <c r="F144" s="46"/>
      <c r="G144" s="46"/>
      <c r="H144" s="46"/>
      <c r="K144" s="46"/>
    </row>
    <row r="145" spans="1:11" s="109" customFormat="1">
      <c r="A145" s="46"/>
      <c r="B145" s="46"/>
      <c r="C145" s="46"/>
      <c r="D145" s="46"/>
      <c r="E145" s="46"/>
      <c r="F145" s="46"/>
      <c r="G145" s="46"/>
      <c r="H145" s="46"/>
      <c r="K145" s="46"/>
    </row>
    <row r="146" spans="1:11" s="109" customFormat="1">
      <c r="A146" s="46"/>
      <c r="B146" s="46"/>
      <c r="C146" s="46"/>
      <c r="D146" s="46"/>
      <c r="E146" s="46"/>
      <c r="F146" s="46"/>
      <c r="G146" s="46"/>
      <c r="H146" s="46"/>
      <c r="K146" s="46"/>
    </row>
    <row r="147" spans="1:11" s="109" customFormat="1">
      <c r="A147" s="46"/>
      <c r="B147" s="46"/>
      <c r="C147" s="46"/>
      <c r="D147" s="46"/>
      <c r="E147" s="46"/>
      <c r="F147" s="46"/>
      <c r="G147" s="46"/>
      <c r="H147" s="46"/>
      <c r="K147" s="46"/>
    </row>
    <row r="148" spans="1:11" s="109" customFormat="1">
      <c r="A148" s="46"/>
      <c r="B148" s="46"/>
      <c r="C148" s="46"/>
      <c r="D148" s="46"/>
      <c r="E148" s="46"/>
      <c r="F148" s="46"/>
      <c r="G148" s="46"/>
      <c r="H148" s="46"/>
      <c r="K148" s="46"/>
    </row>
    <row r="149" spans="1:11" s="109" customFormat="1">
      <c r="A149" s="46"/>
      <c r="B149" s="46"/>
      <c r="C149" s="46"/>
      <c r="D149" s="46"/>
      <c r="E149" s="46"/>
      <c r="F149" s="46"/>
      <c r="G149" s="46"/>
      <c r="H149" s="46"/>
      <c r="K149" s="46"/>
    </row>
    <row r="150" spans="1:11" s="109" customFormat="1">
      <c r="A150" s="46"/>
      <c r="B150" s="46"/>
      <c r="C150" s="46"/>
      <c r="D150" s="46"/>
      <c r="E150" s="46"/>
      <c r="F150" s="46"/>
      <c r="G150" s="46"/>
      <c r="H150" s="46"/>
      <c r="K150" s="46"/>
    </row>
    <row r="151" spans="1:11" s="109" customFormat="1">
      <c r="A151" s="46"/>
      <c r="B151" s="46"/>
      <c r="C151" s="46"/>
      <c r="D151" s="46"/>
      <c r="E151" s="46"/>
      <c r="F151" s="46"/>
      <c r="G151" s="46"/>
      <c r="H151" s="46"/>
      <c r="K151" s="46"/>
    </row>
    <row r="152" spans="1:11" s="109" customFormat="1">
      <c r="A152" s="46"/>
      <c r="B152" s="46"/>
      <c r="C152" s="46"/>
      <c r="D152" s="46"/>
      <c r="E152" s="46"/>
      <c r="F152" s="46"/>
      <c r="G152" s="46"/>
      <c r="H152" s="46"/>
      <c r="K152" s="46"/>
    </row>
    <row r="153" spans="1:11" s="109" customFormat="1">
      <c r="A153" s="46"/>
      <c r="B153" s="46"/>
      <c r="C153" s="46"/>
      <c r="D153" s="46"/>
      <c r="E153" s="46"/>
      <c r="F153" s="46"/>
      <c r="G153" s="46"/>
      <c r="H153" s="46"/>
      <c r="K153" s="46"/>
    </row>
    <row r="154" spans="1:11" s="109" customFormat="1">
      <c r="A154" s="46"/>
      <c r="B154" s="46"/>
      <c r="C154" s="46"/>
      <c r="D154" s="46"/>
      <c r="E154" s="46"/>
      <c r="F154" s="46"/>
      <c r="G154" s="46"/>
      <c r="H154" s="46"/>
      <c r="K154" s="46"/>
    </row>
    <row r="155" spans="1:11" s="109" customFormat="1">
      <c r="A155" s="46"/>
      <c r="B155" s="46"/>
      <c r="C155" s="46"/>
      <c r="D155" s="46"/>
      <c r="E155" s="46"/>
      <c r="F155" s="46"/>
      <c r="G155" s="46"/>
      <c r="H155" s="46"/>
      <c r="K155" s="46"/>
    </row>
    <row r="156" spans="1:11" s="109" customFormat="1">
      <c r="A156" s="46"/>
      <c r="B156" s="46"/>
      <c r="C156" s="46"/>
      <c r="D156" s="46"/>
      <c r="E156" s="46"/>
      <c r="F156" s="46"/>
      <c r="G156" s="46"/>
      <c r="H156" s="46"/>
      <c r="K156" s="46"/>
    </row>
    <row r="157" spans="1:11" s="109" customFormat="1">
      <c r="A157" s="46"/>
      <c r="B157" s="46"/>
      <c r="C157" s="46"/>
      <c r="D157" s="46"/>
      <c r="E157" s="46"/>
      <c r="F157" s="46"/>
      <c r="G157" s="46"/>
      <c r="H157" s="46"/>
      <c r="K157" s="46"/>
    </row>
    <row r="158" spans="1:11" s="109" customFormat="1">
      <c r="A158" s="46"/>
      <c r="B158" s="46"/>
      <c r="C158" s="46"/>
      <c r="D158" s="46"/>
      <c r="E158" s="46"/>
      <c r="F158" s="46"/>
      <c r="G158" s="46"/>
      <c r="H158" s="46"/>
      <c r="K158" s="46"/>
    </row>
    <row r="159" spans="1:11" s="109" customFormat="1">
      <c r="A159" s="46"/>
      <c r="B159" s="46"/>
      <c r="C159" s="46"/>
      <c r="D159" s="46"/>
      <c r="E159" s="46"/>
      <c r="F159" s="46"/>
      <c r="G159" s="46"/>
      <c r="H159" s="46"/>
      <c r="K159" s="46"/>
    </row>
    <row r="160" spans="1:11" s="109" customFormat="1">
      <c r="A160" s="46"/>
      <c r="B160" s="46"/>
      <c r="C160" s="46"/>
      <c r="D160" s="46"/>
      <c r="E160" s="46"/>
      <c r="F160" s="46"/>
      <c r="G160" s="46"/>
      <c r="H160" s="46"/>
      <c r="K160" s="46"/>
    </row>
    <row r="161" spans="1:11" s="109" customFormat="1">
      <c r="A161" s="46"/>
      <c r="B161" s="46"/>
      <c r="C161" s="46"/>
      <c r="D161" s="46"/>
      <c r="E161" s="46"/>
      <c r="F161" s="46"/>
      <c r="G161" s="46"/>
      <c r="H161" s="46"/>
      <c r="K161" s="46"/>
    </row>
    <row r="162" spans="1:11" s="109" customFormat="1">
      <c r="A162" s="46"/>
      <c r="B162" s="46"/>
      <c r="C162" s="46"/>
      <c r="D162" s="46"/>
      <c r="E162" s="46"/>
      <c r="F162" s="46"/>
      <c r="G162" s="46"/>
      <c r="H162" s="46"/>
      <c r="K162" s="46"/>
    </row>
    <row r="163" spans="1:11" s="109" customFormat="1">
      <c r="A163" s="46"/>
      <c r="B163" s="46"/>
      <c r="C163" s="46"/>
      <c r="D163" s="46"/>
      <c r="E163" s="46"/>
      <c r="F163" s="46"/>
      <c r="G163" s="46"/>
      <c r="H163" s="46"/>
      <c r="K163" s="46"/>
    </row>
    <row r="164" spans="1:11" s="109" customFormat="1">
      <c r="A164" s="46"/>
      <c r="B164" s="46"/>
      <c r="C164" s="46"/>
      <c r="D164" s="46"/>
      <c r="E164" s="46"/>
      <c r="F164" s="46"/>
      <c r="G164" s="46"/>
      <c r="H164" s="46"/>
      <c r="K164" s="46"/>
    </row>
    <row r="165" spans="1:11" s="109" customFormat="1">
      <c r="A165" s="46"/>
      <c r="B165" s="46"/>
      <c r="C165" s="46"/>
      <c r="D165" s="46"/>
      <c r="E165" s="46"/>
      <c r="F165" s="46"/>
      <c r="G165" s="46"/>
      <c r="H165" s="46"/>
      <c r="K165" s="46"/>
    </row>
    <row r="166" spans="1:11" s="109" customFormat="1">
      <c r="A166" s="46"/>
      <c r="B166" s="46"/>
      <c r="C166" s="46"/>
      <c r="D166" s="46"/>
      <c r="E166" s="46"/>
      <c r="F166" s="46"/>
      <c r="G166" s="46"/>
      <c r="H166" s="46"/>
      <c r="K166" s="46"/>
    </row>
    <row r="167" spans="1:11" s="109" customFormat="1">
      <c r="A167" s="46"/>
      <c r="B167" s="46"/>
      <c r="C167" s="46"/>
      <c r="D167" s="46"/>
      <c r="E167" s="46"/>
      <c r="F167" s="46"/>
      <c r="G167" s="46"/>
      <c r="H167" s="46"/>
      <c r="K167" s="46"/>
    </row>
    <row r="168" spans="1:11" s="109" customFormat="1">
      <c r="A168" s="46"/>
      <c r="B168" s="46"/>
      <c r="C168" s="46"/>
      <c r="D168" s="46"/>
      <c r="E168" s="46"/>
      <c r="F168" s="46"/>
      <c r="G168" s="46"/>
      <c r="H168" s="46"/>
      <c r="K168" s="46"/>
    </row>
    <row r="169" spans="1:11" s="109" customFormat="1">
      <c r="A169" s="46"/>
      <c r="B169" s="46"/>
      <c r="C169" s="46"/>
      <c r="D169" s="46"/>
      <c r="E169" s="46"/>
      <c r="F169" s="46"/>
      <c r="G169" s="46"/>
      <c r="H169" s="46"/>
      <c r="K169" s="46"/>
    </row>
    <row r="170" spans="1:11" s="109" customFormat="1">
      <c r="A170" s="46"/>
      <c r="B170" s="46"/>
      <c r="C170" s="46"/>
      <c r="D170" s="46"/>
      <c r="E170" s="46"/>
      <c r="F170" s="46"/>
      <c r="G170" s="46"/>
      <c r="H170" s="46"/>
      <c r="K170" s="46"/>
    </row>
    <row r="171" spans="1:11" s="109" customFormat="1">
      <c r="A171" s="46"/>
      <c r="B171" s="46"/>
      <c r="C171" s="46"/>
      <c r="D171" s="46"/>
      <c r="E171" s="46"/>
      <c r="F171" s="46"/>
      <c r="G171" s="46"/>
      <c r="H171" s="46"/>
      <c r="K171" s="46"/>
    </row>
    <row r="172" spans="1:11" s="109" customFormat="1">
      <c r="A172" s="46"/>
      <c r="B172" s="46"/>
      <c r="C172" s="46"/>
      <c r="D172" s="46"/>
      <c r="E172" s="46"/>
      <c r="F172" s="46"/>
      <c r="G172" s="46"/>
      <c r="H172" s="46"/>
      <c r="K172" s="46"/>
    </row>
    <row r="173" spans="1:11" s="109" customFormat="1">
      <c r="A173" s="46"/>
      <c r="B173" s="46"/>
      <c r="C173" s="46"/>
      <c r="D173" s="46"/>
      <c r="E173" s="46"/>
      <c r="F173" s="46"/>
      <c r="G173" s="46"/>
      <c r="H173" s="46"/>
      <c r="K173" s="46"/>
    </row>
    <row r="174" spans="1:11" s="109" customFormat="1">
      <c r="A174" s="46"/>
      <c r="B174" s="46"/>
      <c r="C174" s="46"/>
      <c r="D174" s="46"/>
      <c r="E174" s="46"/>
      <c r="F174" s="46"/>
      <c r="G174" s="46"/>
      <c r="H174" s="46"/>
      <c r="K174" s="46"/>
    </row>
    <row r="175" spans="1:11" s="109" customFormat="1">
      <c r="A175" s="46"/>
      <c r="B175" s="46"/>
      <c r="C175" s="46"/>
      <c r="D175" s="46"/>
      <c r="E175" s="46"/>
      <c r="F175" s="46"/>
      <c r="G175" s="46"/>
      <c r="H175" s="46"/>
      <c r="K175" s="46"/>
    </row>
    <row r="176" spans="1:11" s="109" customFormat="1">
      <c r="A176" s="46"/>
      <c r="B176" s="46"/>
      <c r="C176" s="46"/>
      <c r="D176" s="46"/>
      <c r="E176" s="46"/>
      <c r="F176" s="46"/>
      <c r="G176" s="46"/>
      <c r="H176" s="46"/>
      <c r="K176" s="46"/>
    </row>
    <row r="177" spans="1:11" s="109" customFormat="1">
      <c r="A177" s="46"/>
      <c r="B177" s="46"/>
      <c r="C177" s="46"/>
      <c r="D177" s="46"/>
      <c r="E177" s="46"/>
      <c r="F177" s="46"/>
      <c r="G177" s="46"/>
      <c r="H177" s="46"/>
      <c r="K177" s="46"/>
    </row>
    <row r="178" spans="1:11" s="109" customFormat="1">
      <c r="A178" s="46"/>
      <c r="B178" s="46"/>
      <c r="C178" s="46"/>
      <c r="D178" s="46"/>
      <c r="E178" s="46"/>
      <c r="F178" s="46"/>
      <c r="G178" s="46"/>
      <c r="H178" s="46"/>
      <c r="K178" s="46"/>
    </row>
    <row r="179" spans="1:11" s="109" customFormat="1">
      <c r="A179" s="46"/>
      <c r="B179" s="46"/>
      <c r="C179" s="46"/>
      <c r="D179" s="46"/>
      <c r="E179" s="46"/>
      <c r="F179" s="46"/>
      <c r="G179" s="46"/>
      <c r="H179" s="46"/>
      <c r="K179" s="46"/>
    </row>
    <row r="180" spans="1:11" s="109" customFormat="1">
      <c r="A180" s="46"/>
      <c r="B180" s="46"/>
      <c r="C180" s="46"/>
      <c r="D180" s="46"/>
      <c r="E180" s="46"/>
      <c r="F180" s="46"/>
      <c r="G180" s="46"/>
      <c r="H180" s="46"/>
      <c r="K180" s="46"/>
    </row>
    <row r="181" spans="1:11" s="109" customFormat="1">
      <c r="A181" s="46"/>
      <c r="B181" s="46"/>
      <c r="C181" s="46"/>
      <c r="D181" s="46"/>
      <c r="E181" s="46"/>
      <c r="F181" s="46"/>
      <c r="G181" s="46"/>
      <c r="H181" s="46"/>
      <c r="K181" s="46"/>
    </row>
    <row r="182" spans="1:11" s="109" customFormat="1">
      <c r="A182" s="46"/>
      <c r="B182" s="46"/>
      <c r="C182" s="46"/>
      <c r="D182" s="46"/>
      <c r="E182" s="46"/>
      <c r="F182" s="46"/>
      <c r="G182" s="46"/>
      <c r="H182" s="46"/>
      <c r="K182" s="46"/>
    </row>
    <row r="183" spans="1:11" s="109" customFormat="1">
      <c r="A183" s="46"/>
      <c r="B183" s="46"/>
      <c r="C183" s="46"/>
      <c r="D183" s="46"/>
      <c r="E183" s="46"/>
      <c r="F183" s="46"/>
      <c r="G183" s="46"/>
      <c r="H183" s="46"/>
      <c r="K183" s="46"/>
    </row>
    <row r="184" spans="1:11" s="109" customFormat="1">
      <c r="A184" s="46"/>
      <c r="B184" s="46"/>
      <c r="C184" s="46"/>
      <c r="D184" s="46"/>
      <c r="E184" s="46"/>
      <c r="F184" s="46"/>
      <c r="G184" s="46"/>
      <c r="H184" s="46"/>
      <c r="K184" s="46"/>
    </row>
    <row r="185" spans="1:11" s="109" customFormat="1">
      <c r="A185" s="46"/>
      <c r="B185" s="46"/>
      <c r="C185" s="46"/>
      <c r="D185" s="46"/>
      <c r="E185" s="46"/>
      <c r="F185" s="46"/>
      <c r="G185" s="46"/>
      <c r="H185" s="46"/>
      <c r="K185" s="46"/>
    </row>
    <row r="186" spans="1:11" s="109" customFormat="1">
      <c r="A186" s="46"/>
      <c r="B186" s="46"/>
      <c r="C186" s="46"/>
      <c r="D186" s="46"/>
      <c r="E186" s="46"/>
      <c r="F186" s="46"/>
      <c r="G186" s="46"/>
      <c r="H186" s="46"/>
      <c r="K186" s="46"/>
    </row>
    <row r="187" spans="1:11" s="109" customFormat="1">
      <c r="A187" s="46"/>
      <c r="B187" s="46"/>
      <c r="C187" s="46"/>
      <c r="D187" s="46"/>
      <c r="E187" s="46"/>
      <c r="F187" s="46"/>
      <c r="G187" s="46"/>
      <c r="H187" s="46"/>
      <c r="K187" s="46"/>
    </row>
    <row r="188" spans="1:11" s="109" customFormat="1">
      <c r="A188" s="46"/>
      <c r="B188" s="46"/>
      <c r="C188" s="46"/>
      <c r="D188" s="46"/>
      <c r="E188" s="46"/>
      <c r="F188" s="46"/>
      <c r="G188" s="46"/>
      <c r="H188" s="46"/>
      <c r="K188" s="46"/>
    </row>
    <row r="189" spans="1:11" s="109" customFormat="1">
      <c r="A189" s="46"/>
      <c r="B189" s="46"/>
      <c r="C189" s="46"/>
      <c r="D189" s="46"/>
      <c r="E189" s="46"/>
      <c r="F189" s="46"/>
      <c r="G189" s="46"/>
      <c r="H189" s="46"/>
      <c r="K189" s="46"/>
    </row>
    <row r="190" spans="1:11" s="109" customFormat="1">
      <c r="A190" s="46"/>
      <c r="B190" s="46"/>
      <c r="C190" s="46"/>
      <c r="D190" s="46"/>
      <c r="E190" s="46"/>
      <c r="F190" s="46"/>
      <c r="G190" s="46"/>
      <c r="H190" s="46"/>
      <c r="K190" s="46"/>
    </row>
    <row r="191" spans="1:11" s="109" customFormat="1">
      <c r="A191" s="46"/>
      <c r="B191" s="46"/>
      <c r="C191" s="46"/>
      <c r="D191" s="46"/>
      <c r="E191" s="46"/>
      <c r="F191" s="46"/>
      <c r="G191" s="46"/>
      <c r="H191" s="46"/>
      <c r="K191" s="46"/>
    </row>
    <row r="192" spans="1:11" s="109" customFormat="1">
      <c r="A192" s="46"/>
      <c r="B192" s="46"/>
      <c r="C192" s="46"/>
      <c r="D192" s="46"/>
      <c r="E192" s="46"/>
      <c r="F192" s="46"/>
      <c r="G192" s="46"/>
      <c r="H192" s="46"/>
      <c r="K192" s="46"/>
    </row>
    <row r="193" spans="1:11" s="109" customFormat="1">
      <c r="A193" s="46"/>
      <c r="B193" s="46"/>
      <c r="C193" s="46"/>
      <c r="D193" s="46"/>
      <c r="E193" s="46"/>
      <c r="F193" s="46"/>
      <c r="G193" s="46"/>
      <c r="H193" s="46"/>
      <c r="K193" s="46"/>
    </row>
    <row r="194" spans="1:11" s="109" customFormat="1">
      <c r="A194" s="46"/>
      <c r="B194" s="46"/>
      <c r="C194" s="46"/>
      <c r="D194" s="46"/>
      <c r="E194" s="46"/>
      <c r="F194" s="46"/>
      <c r="G194" s="46"/>
      <c r="H194" s="46"/>
      <c r="K194" s="46"/>
    </row>
    <row r="195" spans="1:11" s="109" customFormat="1">
      <c r="A195" s="46"/>
      <c r="B195" s="46"/>
      <c r="C195" s="46"/>
      <c r="D195" s="46"/>
      <c r="E195" s="46"/>
      <c r="F195" s="46"/>
      <c r="G195" s="46"/>
      <c r="H195" s="46"/>
      <c r="K195" s="46"/>
    </row>
    <row r="196" spans="1:11" s="109" customFormat="1">
      <c r="A196" s="46"/>
      <c r="B196" s="46"/>
      <c r="C196" s="46"/>
      <c r="D196" s="46"/>
      <c r="E196" s="46"/>
      <c r="F196" s="46"/>
      <c r="G196" s="46"/>
      <c r="H196" s="46"/>
      <c r="K196" s="46"/>
    </row>
    <row r="197" spans="1:11" s="109" customFormat="1">
      <c r="A197" s="46"/>
      <c r="B197" s="46"/>
      <c r="C197" s="46"/>
      <c r="D197" s="46"/>
      <c r="E197" s="46"/>
      <c r="F197" s="46"/>
      <c r="G197" s="46"/>
      <c r="H197" s="46"/>
      <c r="K197" s="46"/>
    </row>
    <row r="198" spans="1:11" s="109" customFormat="1">
      <c r="A198" s="46"/>
      <c r="B198" s="46"/>
      <c r="C198" s="46"/>
      <c r="D198" s="46"/>
      <c r="E198" s="46"/>
      <c r="F198" s="46"/>
      <c r="G198" s="46"/>
      <c r="H198" s="46"/>
      <c r="K198" s="46"/>
    </row>
    <row r="199" spans="1:11" s="109" customFormat="1">
      <c r="A199" s="46"/>
      <c r="B199" s="46"/>
      <c r="C199" s="46"/>
      <c r="D199" s="46"/>
      <c r="E199" s="46"/>
      <c r="F199" s="46"/>
      <c r="G199" s="46"/>
      <c r="H199" s="46"/>
      <c r="K199" s="46"/>
    </row>
    <row r="200" spans="1:11" s="109" customFormat="1">
      <c r="A200" s="46"/>
      <c r="B200" s="46"/>
      <c r="C200" s="46"/>
      <c r="D200" s="46"/>
      <c r="E200" s="46"/>
      <c r="F200" s="46"/>
      <c r="G200" s="46"/>
      <c r="H200" s="46"/>
      <c r="K200" s="46"/>
    </row>
    <row r="201" spans="1:11" s="109" customFormat="1">
      <c r="A201" s="46"/>
      <c r="B201" s="46"/>
      <c r="C201" s="46"/>
      <c r="D201" s="46"/>
      <c r="E201" s="46"/>
      <c r="F201" s="46"/>
      <c r="G201" s="46"/>
      <c r="H201" s="46"/>
      <c r="K201" s="46"/>
    </row>
    <row r="202" spans="1:11" s="109" customFormat="1">
      <c r="A202" s="46"/>
      <c r="B202" s="46"/>
      <c r="C202" s="46"/>
      <c r="D202" s="46"/>
      <c r="E202" s="46"/>
      <c r="F202" s="46"/>
      <c r="G202" s="46"/>
      <c r="H202" s="46"/>
      <c r="K202" s="46"/>
    </row>
    <row r="203" spans="1:11" s="109" customFormat="1">
      <c r="A203" s="46"/>
      <c r="B203" s="46"/>
      <c r="C203" s="46"/>
      <c r="D203" s="46"/>
      <c r="E203" s="46"/>
      <c r="F203" s="46"/>
      <c r="G203" s="46"/>
      <c r="H203" s="46"/>
      <c r="K203" s="46"/>
    </row>
    <row r="204" spans="1:11" s="109" customFormat="1">
      <c r="A204" s="46"/>
      <c r="B204" s="46"/>
      <c r="C204" s="46"/>
      <c r="D204" s="46"/>
      <c r="E204" s="46"/>
      <c r="F204" s="46"/>
      <c r="G204" s="46"/>
      <c r="H204" s="46"/>
      <c r="K204" s="46"/>
    </row>
    <row r="205" spans="1:11" s="109" customFormat="1">
      <c r="A205" s="46"/>
      <c r="B205" s="46"/>
      <c r="C205" s="46"/>
      <c r="D205" s="46"/>
      <c r="E205" s="46"/>
      <c r="F205" s="46"/>
      <c r="G205" s="46"/>
      <c r="H205" s="46"/>
      <c r="K205" s="46"/>
    </row>
    <row r="206" spans="1:11" s="109" customFormat="1">
      <c r="A206" s="46"/>
      <c r="B206" s="46"/>
      <c r="C206" s="46"/>
      <c r="D206" s="46"/>
      <c r="E206" s="46"/>
      <c r="F206" s="46"/>
      <c r="G206" s="46"/>
      <c r="H206" s="46"/>
      <c r="K206" s="46"/>
    </row>
    <row r="207" spans="1:11" s="109" customFormat="1">
      <c r="A207" s="46"/>
      <c r="B207" s="46"/>
      <c r="C207" s="46"/>
      <c r="D207" s="46"/>
      <c r="E207" s="46"/>
      <c r="F207" s="46"/>
      <c r="G207" s="46"/>
      <c r="H207" s="46"/>
      <c r="K207" s="46"/>
    </row>
    <row r="208" spans="1:11" s="109" customFormat="1">
      <c r="A208" s="46"/>
      <c r="B208" s="46"/>
      <c r="C208" s="46"/>
      <c r="D208" s="46"/>
      <c r="E208" s="46"/>
      <c r="F208" s="46"/>
      <c r="G208" s="46"/>
      <c r="H208" s="46"/>
      <c r="K208" s="46"/>
    </row>
    <row r="209" spans="1:11" s="109" customFormat="1">
      <c r="A209" s="46"/>
      <c r="B209" s="46"/>
      <c r="C209" s="46"/>
      <c r="D209" s="46"/>
      <c r="E209" s="46"/>
      <c r="F209" s="46"/>
      <c r="G209" s="46"/>
      <c r="H209" s="46"/>
      <c r="K209" s="46"/>
    </row>
    <row r="210" spans="1:11" s="109" customFormat="1">
      <c r="A210" s="46"/>
      <c r="B210" s="46"/>
      <c r="C210" s="46"/>
      <c r="D210" s="46"/>
      <c r="E210" s="46"/>
      <c r="F210" s="46"/>
      <c r="G210" s="46"/>
      <c r="H210" s="46"/>
      <c r="K210" s="46"/>
    </row>
    <row r="211" spans="1:11" s="109" customFormat="1">
      <c r="A211" s="46"/>
      <c r="B211" s="46"/>
      <c r="C211" s="46"/>
      <c r="D211" s="46"/>
      <c r="E211" s="46"/>
      <c r="F211" s="46"/>
      <c r="G211" s="46"/>
      <c r="H211" s="46"/>
      <c r="K211" s="46"/>
    </row>
    <row r="212" spans="1:11" s="109" customFormat="1">
      <c r="A212" s="46"/>
      <c r="B212" s="46"/>
      <c r="C212" s="46"/>
      <c r="D212" s="46"/>
      <c r="E212" s="46"/>
      <c r="F212" s="46"/>
      <c r="G212" s="46"/>
      <c r="H212" s="46"/>
      <c r="K212" s="46"/>
    </row>
    <row r="213" spans="1:11" s="109" customFormat="1">
      <c r="A213" s="46"/>
      <c r="B213" s="46"/>
      <c r="C213" s="46"/>
      <c r="D213" s="46"/>
      <c r="E213" s="46"/>
      <c r="F213" s="46"/>
      <c r="G213" s="46"/>
      <c r="H213" s="46"/>
      <c r="K213" s="46"/>
    </row>
    <row r="214" spans="1:11" s="109" customFormat="1">
      <c r="A214" s="46"/>
      <c r="B214" s="46"/>
      <c r="C214" s="46"/>
      <c r="D214" s="46"/>
      <c r="E214" s="46"/>
      <c r="F214" s="46"/>
      <c r="G214" s="46"/>
      <c r="H214" s="46"/>
      <c r="K214" s="46"/>
    </row>
    <row r="215" spans="1:11" s="109" customFormat="1">
      <c r="A215" s="46"/>
      <c r="B215" s="46"/>
      <c r="C215" s="46"/>
      <c r="D215" s="46"/>
      <c r="E215" s="46"/>
      <c r="F215" s="46"/>
      <c r="G215" s="46"/>
      <c r="H215" s="46"/>
      <c r="K215" s="46"/>
    </row>
    <row r="216" spans="1:11" s="109" customFormat="1">
      <c r="A216" s="46"/>
      <c r="B216" s="46"/>
      <c r="C216" s="46"/>
      <c r="D216" s="46"/>
      <c r="E216" s="46"/>
      <c r="F216" s="46"/>
      <c r="G216" s="46"/>
      <c r="H216" s="46"/>
      <c r="K216" s="46"/>
    </row>
    <row r="217" spans="1:11" s="109" customFormat="1">
      <c r="A217" s="46"/>
      <c r="B217" s="46"/>
      <c r="C217" s="46"/>
      <c r="D217" s="46"/>
      <c r="E217" s="46"/>
      <c r="F217" s="46"/>
      <c r="G217" s="46"/>
      <c r="H217" s="46"/>
      <c r="K217" s="46"/>
    </row>
    <row r="218" spans="1:11" s="109" customFormat="1">
      <c r="A218" s="46"/>
      <c r="B218" s="46"/>
      <c r="C218" s="46"/>
      <c r="D218" s="46"/>
      <c r="E218" s="46"/>
      <c r="F218" s="46"/>
      <c r="G218" s="46"/>
      <c r="H218" s="46"/>
      <c r="K218" s="46"/>
    </row>
    <row r="219" spans="1:11" s="109" customFormat="1">
      <c r="A219" s="46"/>
      <c r="B219" s="46"/>
      <c r="C219" s="46"/>
      <c r="D219" s="46"/>
      <c r="E219" s="46"/>
      <c r="F219" s="46"/>
      <c r="G219" s="46"/>
      <c r="H219" s="46"/>
      <c r="K219" s="46"/>
    </row>
    <row r="220" spans="1:11" s="109" customFormat="1">
      <c r="A220" s="46"/>
      <c r="B220" s="46"/>
      <c r="C220" s="46"/>
      <c r="D220" s="46"/>
      <c r="E220" s="46"/>
      <c r="F220" s="46"/>
      <c r="G220" s="46"/>
      <c r="H220" s="46"/>
      <c r="K220" s="46"/>
    </row>
    <row r="221" spans="1:11" s="109" customFormat="1">
      <c r="A221" s="46"/>
      <c r="B221" s="46"/>
      <c r="C221" s="46"/>
      <c r="D221" s="46"/>
      <c r="E221" s="46"/>
      <c r="F221" s="46"/>
      <c r="G221" s="46"/>
      <c r="H221" s="46"/>
      <c r="K221" s="46"/>
    </row>
    <row r="222" spans="1:11" s="109" customFormat="1">
      <c r="A222" s="46"/>
      <c r="B222" s="46"/>
      <c r="C222" s="46"/>
      <c r="D222" s="46"/>
      <c r="E222" s="46"/>
      <c r="F222" s="46"/>
      <c r="G222" s="46"/>
      <c r="H222" s="46"/>
      <c r="K222" s="46"/>
    </row>
    <row r="223" spans="1:11" s="109" customFormat="1">
      <c r="A223" s="46"/>
      <c r="B223" s="46"/>
      <c r="C223" s="46"/>
      <c r="D223" s="46"/>
      <c r="E223" s="46"/>
      <c r="F223" s="46"/>
      <c r="G223" s="46"/>
      <c r="H223" s="46"/>
      <c r="K223" s="46"/>
    </row>
    <row r="224" spans="1:11" s="109" customFormat="1">
      <c r="A224" s="46"/>
      <c r="B224" s="46"/>
      <c r="C224" s="46"/>
      <c r="D224" s="46"/>
      <c r="E224" s="46"/>
      <c r="F224" s="46"/>
      <c r="G224" s="46"/>
      <c r="H224" s="46"/>
      <c r="K224" s="46"/>
    </row>
    <row r="225" spans="1:11" s="109" customFormat="1">
      <c r="A225" s="46"/>
      <c r="B225" s="46"/>
      <c r="C225" s="46"/>
      <c r="D225" s="46"/>
      <c r="E225" s="46"/>
      <c r="F225" s="46"/>
      <c r="G225" s="46"/>
      <c r="H225" s="46"/>
      <c r="K225" s="46"/>
    </row>
    <row r="226" spans="1:11" s="109" customFormat="1">
      <c r="A226" s="46"/>
      <c r="B226" s="46"/>
      <c r="C226" s="46"/>
      <c r="D226" s="46"/>
      <c r="E226" s="46"/>
      <c r="F226" s="46"/>
      <c r="G226" s="46"/>
      <c r="H226" s="46"/>
      <c r="K226" s="46"/>
    </row>
    <row r="227" spans="1:11" s="109" customFormat="1">
      <c r="A227" s="46"/>
      <c r="B227" s="46"/>
      <c r="C227" s="46"/>
      <c r="D227" s="46"/>
      <c r="E227" s="46"/>
      <c r="F227" s="46"/>
      <c r="G227" s="46"/>
      <c r="H227" s="46"/>
      <c r="K227" s="46"/>
    </row>
    <row r="228" spans="1:11" s="109" customFormat="1">
      <c r="A228" s="46"/>
      <c r="B228" s="46"/>
      <c r="C228" s="46"/>
      <c r="D228" s="46"/>
      <c r="E228" s="46"/>
      <c r="F228" s="46"/>
      <c r="G228" s="46"/>
      <c r="H228" s="46"/>
      <c r="K228" s="46"/>
    </row>
    <row r="229" spans="1:11" s="109" customFormat="1">
      <c r="A229" s="46"/>
      <c r="B229" s="46"/>
      <c r="C229" s="46"/>
      <c r="D229" s="46"/>
      <c r="E229" s="46"/>
      <c r="F229" s="46"/>
      <c r="G229" s="46"/>
      <c r="H229" s="46"/>
      <c r="K229" s="46"/>
    </row>
    <row r="230" spans="1:11" s="109" customFormat="1">
      <c r="A230" s="46"/>
      <c r="B230" s="46"/>
      <c r="C230" s="46"/>
      <c r="D230" s="46"/>
      <c r="E230" s="46"/>
      <c r="F230" s="46"/>
      <c r="G230" s="46"/>
      <c r="H230" s="46"/>
      <c r="K230" s="46"/>
    </row>
    <row r="231" spans="1:11" s="109" customFormat="1">
      <c r="A231" s="46"/>
      <c r="B231" s="46"/>
      <c r="C231" s="46"/>
      <c r="D231" s="46"/>
      <c r="E231" s="46"/>
      <c r="F231" s="46"/>
      <c r="G231" s="46"/>
      <c r="H231" s="46"/>
      <c r="K231" s="46"/>
    </row>
  </sheetData>
  <mergeCells count="3">
    <mergeCell ref="A2:J2"/>
    <mergeCell ref="A3:J3"/>
    <mergeCell ref="A4:J4"/>
  </mergeCells>
  <pageMargins left="0.27" right="0.15" top="0.39" bottom="0.1" header="0.21" footer="0.1"/>
  <pageSetup scale="90" orientation="portrait" horizontalDpi="300" verticalDpi="300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FF00"/>
  </sheetPr>
  <dimension ref="A1:N232"/>
  <sheetViews>
    <sheetView topLeftCell="A4" workbookViewId="0">
      <selection activeCell="G22" sqref="G22"/>
    </sheetView>
  </sheetViews>
  <sheetFormatPr defaultRowHeight="12.75"/>
  <cols>
    <col min="1" max="1" width="6" style="46" customWidth="1"/>
    <col min="2" max="3" width="9.140625" style="46"/>
    <col min="4" max="4" width="16.5703125" style="46" customWidth="1"/>
    <col min="5" max="5" width="12.42578125" style="46" customWidth="1"/>
    <col min="6" max="6" width="13.140625" style="46" customWidth="1"/>
    <col min="7" max="7" width="10" style="46" customWidth="1"/>
    <col min="8" max="8" width="11.5703125" style="46" customWidth="1"/>
    <col min="9" max="9" width="11.42578125" style="46" customWidth="1"/>
    <col min="10" max="10" width="13.28515625" style="109" customWidth="1"/>
    <col min="11" max="11" width="15.7109375" style="46" customWidth="1"/>
    <col min="12" max="12" width="16.85546875" style="109" customWidth="1"/>
    <col min="13" max="13" width="17" style="109" customWidth="1"/>
    <col min="14" max="14" width="17" style="46" customWidth="1"/>
    <col min="15" max="16384" width="9.140625" style="46"/>
  </cols>
  <sheetData>
    <row r="1" spans="1:13">
      <c r="A1" s="47"/>
      <c r="B1" s="48"/>
      <c r="C1" s="48"/>
      <c r="D1" s="48"/>
      <c r="E1" s="48"/>
      <c r="F1" s="48"/>
      <c r="G1" s="48"/>
      <c r="H1" s="48"/>
      <c r="I1" s="48"/>
      <c r="J1" s="169" t="s">
        <v>81</v>
      </c>
    </row>
    <row r="2" spans="1:13">
      <c r="A2" s="389" t="s">
        <v>80</v>
      </c>
      <c r="B2" s="390"/>
      <c r="C2" s="390"/>
      <c r="D2" s="390"/>
      <c r="E2" s="390"/>
      <c r="F2" s="390"/>
      <c r="G2" s="390"/>
      <c r="H2" s="390"/>
      <c r="I2" s="390"/>
      <c r="J2" s="391"/>
    </row>
    <row r="3" spans="1:13">
      <c r="A3" s="389" t="s">
        <v>170</v>
      </c>
      <c r="B3" s="390"/>
      <c r="C3" s="390"/>
      <c r="D3" s="390"/>
      <c r="E3" s="390"/>
      <c r="F3" s="390"/>
      <c r="G3" s="390"/>
      <c r="H3" s="390"/>
      <c r="I3" s="390"/>
      <c r="J3" s="391"/>
    </row>
    <row r="4" spans="1:13">
      <c r="A4" s="389"/>
      <c r="B4" s="390"/>
      <c r="C4" s="390"/>
      <c r="D4" s="390"/>
      <c r="E4" s="390"/>
      <c r="F4" s="390"/>
      <c r="G4" s="390"/>
      <c r="H4" s="390"/>
      <c r="I4" s="390"/>
      <c r="J4" s="391"/>
    </row>
    <row r="5" spans="1:13">
      <c r="A5" s="54" t="s">
        <v>77</v>
      </c>
      <c r="B5" s="186"/>
      <c r="C5" s="186"/>
      <c r="D5" s="186"/>
      <c r="E5" s="186"/>
      <c r="F5" s="186"/>
      <c r="G5" s="186"/>
      <c r="H5" s="186"/>
      <c r="I5" s="186"/>
      <c r="J5" s="170"/>
    </row>
    <row r="6" spans="1:13">
      <c r="A6" s="54" t="s">
        <v>76</v>
      </c>
      <c r="B6" s="55"/>
      <c r="C6" s="55"/>
      <c r="D6" s="55"/>
      <c r="E6" s="55"/>
      <c r="F6" s="55"/>
      <c r="G6" s="55"/>
      <c r="H6" s="55"/>
      <c r="I6" s="55"/>
      <c r="J6" s="171"/>
    </row>
    <row r="7" spans="1:13">
      <c r="A7" s="47"/>
      <c r="B7" s="48"/>
      <c r="C7" s="48"/>
      <c r="D7" s="49"/>
      <c r="E7" s="88" t="s">
        <v>8</v>
      </c>
      <c r="F7" s="50"/>
      <c r="G7" s="52"/>
      <c r="H7" s="52"/>
      <c r="I7" s="53"/>
      <c r="J7" s="110"/>
    </row>
    <row r="8" spans="1:13">
      <c r="A8" s="54"/>
      <c r="B8" s="55"/>
      <c r="C8" s="55"/>
      <c r="D8" s="56"/>
      <c r="E8" s="185" t="s">
        <v>9</v>
      </c>
      <c r="F8" s="53"/>
      <c r="G8" s="59"/>
      <c r="H8" s="59"/>
      <c r="I8" s="58"/>
      <c r="J8" s="111"/>
    </row>
    <row r="9" spans="1:13">
      <c r="A9" s="61" t="s">
        <v>68</v>
      </c>
      <c r="B9" s="55"/>
      <c r="C9" s="55"/>
      <c r="D9" s="56"/>
      <c r="E9" s="185" t="s">
        <v>10</v>
      </c>
      <c r="F9" s="60" t="s">
        <v>12</v>
      </c>
      <c r="G9" s="60" t="s">
        <v>14</v>
      </c>
      <c r="H9" s="60" t="s">
        <v>20</v>
      </c>
      <c r="I9" s="60" t="s">
        <v>22</v>
      </c>
      <c r="J9" s="112" t="s">
        <v>24</v>
      </c>
    </row>
    <row r="10" spans="1:13">
      <c r="A10" s="54"/>
      <c r="B10" s="55"/>
      <c r="C10" s="55"/>
      <c r="D10" s="56"/>
      <c r="E10" s="185" t="s">
        <v>11</v>
      </c>
      <c r="F10" s="60" t="s">
        <v>13</v>
      </c>
      <c r="G10" s="59"/>
      <c r="H10" s="60" t="s">
        <v>21</v>
      </c>
      <c r="I10" s="60" t="s">
        <v>23</v>
      </c>
      <c r="J10" s="111"/>
    </row>
    <row r="11" spans="1:13">
      <c r="A11" s="62"/>
      <c r="B11" s="63"/>
      <c r="C11" s="63"/>
      <c r="D11" s="64"/>
      <c r="E11" s="65">
        <v>0.3</v>
      </c>
      <c r="F11" s="66">
        <v>0.7</v>
      </c>
      <c r="G11" s="59"/>
      <c r="H11" s="67"/>
      <c r="I11" s="68"/>
      <c r="J11" s="113"/>
    </row>
    <row r="12" spans="1:13" ht="18" customHeight="1">
      <c r="A12" s="70" t="s">
        <v>0</v>
      </c>
      <c r="B12" s="71"/>
      <c r="C12" s="71"/>
      <c r="D12" s="72"/>
      <c r="E12" s="51"/>
      <c r="F12" s="51"/>
      <c r="G12" s="51"/>
      <c r="H12" s="51"/>
      <c r="I12" s="51"/>
      <c r="J12" s="110"/>
      <c r="L12" s="118" t="s">
        <v>90</v>
      </c>
      <c r="M12" s="118" t="s">
        <v>89</v>
      </c>
    </row>
    <row r="13" spans="1:13" ht="18" customHeight="1">
      <c r="A13" s="73" t="s">
        <v>1</v>
      </c>
      <c r="B13" s="72"/>
      <c r="C13" s="72"/>
      <c r="D13" s="72"/>
      <c r="E13" s="94">
        <f>M19*0.3</f>
        <v>1558794.7366500001</v>
      </c>
      <c r="F13" s="94">
        <f>M19*0.7</f>
        <v>3637187.7188499998</v>
      </c>
      <c r="G13" s="94"/>
      <c r="H13" s="94"/>
      <c r="I13" s="94"/>
      <c r="J13" s="275">
        <f>SUM(E13:I13)</f>
        <v>5195982.4555000002</v>
      </c>
      <c r="K13" s="175" t="e">
        <f>SUM(J13+#REF!+#REF!+#REF!+#REF!+#REF!+#REF!+#REF!+#REF!+#REF!+#REF!+#REF!)</f>
        <v>#REF!</v>
      </c>
      <c r="L13" s="109">
        <v>21367644.399999999</v>
      </c>
      <c r="M13" s="109">
        <v>4171566.4</v>
      </c>
    </row>
    <row r="14" spans="1:13" ht="18" customHeight="1">
      <c r="A14" s="73" t="s">
        <v>2</v>
      </c>
      <c r="B14" s="72"/>
      <c r="C14" s="72"/>
      <c r="D14" s="72"/>
      <c r="E14" s="102"/>
      <c r="F14" s="102">
        <v>1897753.11</v>
      </c>
      <c r="G14" s="102"/>
      <c r="H14" s="102"/>
      <c r="I14" s="102"/>
      <c r="J14" s="309">
        <f>SUM(E14:I14)</f>
        <v>1897753.11</v>
      </c>
      <c r="K14" s="117" t="s">
        <v>88</v>
      </c>
      <c r="L14" s="109">
        <v>9400000</v>
      </c>
      <c r="M14" s="109">
        <v>5637398.9699999997</v>
      </c>
    </row>
    <row r="15" spans="1:13" ht="18" customHeight="1">
      <c r="A15" s="75" t="s">
        <v>3</v>
      </c>
      <c r="B15" s="48"/>
      <c r="C15" s="48"/>
      <c r="D15" s="48"/>
      <c r="E15" s="102"/>
      <c r="F15" s="102"/>
      <c r="G15" s="102"/>
      <c r="H15" s="102"/>
      <c r="I15" s="102"/>
      <c r="J15" s="309"/>
      <c r="L15" s="116">
        <f>SUM(L13:L14)</f>
        <v>30767644.399999999</v>
      </c>
      <c r="M15" s="116">
        <f>SUM(M13:M14)</f>
        <v>9808965.3699999992</v>
      </c>
    </row>
    <row r="16" spans="1:13" ht="18" customHeight="1">
      <c r="A16" s="76" t="s">
        <v>78</v>
      </c>
      <c r="B16" s="55"/>
      <c r="C16" s="55"/>
      <c r="D16" s="55"/>
      <c r="E16" s="103">
        <f>630000+1000000+1300000+2000000+150000+3076959.52</f>
        <v>8156959.5199999996</v>
      </c>
      <c r="F16" s="103">
        <f>400000+1000000+860000+4590281.96+7179572.21</f>
        <v>14029854.17</v>
      </c>
      <c r="G16" s="103"/>
      <c r="H16" s="103"/>
      <c r="I16" s="103"/>
      <c r="J16" s="310">
        <f>SUM(E16:I16)</f>
        <v>22186813.689999998</v>
      </c>
      <c r="K16" s="109">
        <v>11930281.960000001</v>
      </c>
    </row>
    <row r="17" spans="1:14" ht="18" customHeight="1">
      <c r="A17" s="77" t="s">
        <v>79</v>
      </c>
      <c r="B17" s="72"/>
      <c r="C17" s="72"/>
      <c r="D17" s="72"/>
      <c r="E17" s="94"/>
      <c r="F17" s="94"/>
      <c r="G17" s="94"/>
      <c r="H17" s="94">
        <v>10140</v>
      </c>
      <c r="I17" s="94"/>
      <c r="J17" s="310">
        <f>SUM(E17:I17)</f>
        <v>10140</v>
      </c>
      <c r="K17" s="173">
        <f>K16-J16</f>
        <v>-10256531.729999997</v>
      </c>
      <c r="L17" s="109">
        <f>SUM(J14:J17)</f>
        <v>24094706.799999997</v>
      </c>
      <c r="M17" s="109">
        <v>25936573.030000001</v>
      </c>
    </row>
    <row r="18" spans="1:14" ht="18" customHeight="1">
      <c r="A18" s="70" t="s">
        <v>7</v>
      </c>
      <c r="B18" s="72"/>
      <c r="C18" s="72"/>
      <c r="D18" s="72"/>
      <c r="E18" s="119">
        <f>SUM(E13:E17)</f>
        <v>9715754.2566499989</v>
      </c>
      <c r="F18" s="119">
        <f t="shared" ref="F18:J18" si="0">SUM(F13:F17)</f>
        <v>19564794.998849999</v>
      </c>
      <c r="G18" s="119">
        <f t="shared" si="0"/>
        <v>0</v>
      </c>
      <c r="H18" s="119">
        <f t="shared" si="0"/>
        <v>10140</v>
      </c>
      <c r="I18" s="119">
        <f t="shared" si="0"/>
        <v>0</v>
      </c>
      <c r="J18" s="119">
        <f t="shared" si="0"/>
        <v>29290689.255499996</v>
      </c>
      <c r="K18" s="166">
        <f t="shared" ref="K18:K40" si="1">SUM(E18:I18)</f>
        <v>29290689.255499996</v>
      </c>
      <c r="L18" s="193" t="s">
        <v>171</v>
      </c>
      <c r="M18" s="192">
        <v>103919649.11</v>
      </c>
    </row>
    <row r="19" spans="1:14" s="109" customFormat="1" ht="18" customHeight="1">
      <c r="A19" s="74" t="s">
        <v>99</v>
      </c>
      <c r="B19" s="72" t="s">
        <v>100</v>
      </c>
      <c r="C19" s="72"/>
      <c r="D19" s="72"/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166">
        <f t="shared" si="1"/>
        <v>0</v>
      </c>
      <c r="L19" s="194">
        <v>0.05</v>
      </c>
      <c r="M19" s="192">
        <f>M18*0.05</f>
        <v>5195982.4555000002</v>
      </c>
    </row>
    <row r="20" spans="1:14" s="109" customFormat="1" ht="18" customHeight="1">
      <c r="A20" s="70" t="s">
        <v>101</v>
      </c>
      <c r="B20" s="122"/>
      <c r="C20" s="72"/>
      <c r="D20" s="72"/>
      <c r="E20" s="119">
        <f>SUM(E18:E19)</f>
        <v>9715754.2566499989</v>
      </c>
      <c r="F20" s="119">
        <f t="shared" ref="F20:J20" si="2">SUM(F18:F19)</f>
        <v>19564794.998849999</v>
      </c>
      <c r="G20" s="119">
        <f t="shared" si="2"/>
        <v>0</v>
      </c>
      <c r="H20" s="119">
        <f t="shared" si="2"/>
        <v>10140</v>
      </c>
      <c r="I20" s="119">
        <f t="shared" si="2"/>
        <v>0</v>
      </c>
      <c r="J20" s="119">
        <f t="shared" si="2"/>
        <v>29290689.255499996</v>
      </c>
      <c r="K20" s="166">
        <f t="shared" si="1"/>
        <v>29290689.255499996</v>
      </c>
    </row>
    <row r="21" spans="1:14" ht="18" customHeight="1">
      <c r="A21" s="70" t="s">
        <v>15</v>
      </c>
      <c r="B21" s="72"/>
      <c r="C21" s="72"/>
      <c r="D21" s="72"/>
      <c r="E21" s="94"/>
      <c r="F21" s="94"/>
      <c r="G21" s="94"/>
      <c r="H21" s="94"/>
      <c r="I21" s="94"/>
      <c r="J21" s="111"/>
      <c r="K21" s="166">
        <f t="shared" si="1"/>
        <v>0</v>
      </c>
      <c r="L21" s="109">
        <f>N21-M21</f>
        <v>1263173.6800000002</v>
      </c>
      <c r="M21" s="109">
        <v>3076959.52</v>
      </c>
      <c r="N21" s="109">
        <v>4340133.2</v>
      </c>
    </row>
    <row r="22" spans="1:14" ht="18" customHeight="1">
      <c r="A22" s="78" t="s">
        <v>16</v>
      </c>
      <c r="B22" s="72"/>
      <c r="C22" s="72"/>
      <c r="D22" s="72"/>
      <c r="E22" s="94"/>
      <c r="F22" s="94"/>
      <c r="G22" s="94"/>
      <c r="H22" s="94"/>
      <c r="I22" s="94"/>
      <c r="J22" s="114">
        <f t="shared" ref="J22" si="3">SUM(E22:I22)</f>
        <v>0</v>
      </c>
      <c r="K22" s="166">
        <f t="shared" si="1"/>
        <v>0</v>
      </c>
      <c r="L22" s="109">
        <f>N22-M22</f>
        <v>-2783173.7</v>
      </c>
      <c r="M22" s="109">
        <v>7179572.21</v>
      </c>
      <c r="N22" s="109">
        <v>4396398.51</v>
      </c>
    </row>
    <row r="23" spans="1:14" ht="18" customHeight="1">
      <c r="A23" s="78" t="s">
        <v>70</v>
      </c>
      <c r="B23" s="72"/>
      <c r="C23" s="72"/>
      <c r="D23" s="72"/>
      <c r="E23" s="94"/>
      <c r="F23" s="94"/>
      <c r="G23" s="94"/>
      <c r="H23" s="94"/>
      <c r="I23" s="94"/>
      <c r="J23" s="114">
        <f>SUM(E23:I23)</f>
        <v>0</v>
      </c>
      <c r="K23" s="166">
        <f t="shared" si="1"/>
        <v>0</v>
      </c>
      <c r="L23" s="109" t="e">
        <f>L22-K13</f>
        <v>#REF!</v>
      </c>
      <c r="M23" s="109">
        <f>SUM(M21:M22)</f>
        <v>10256531.73</v>
      </c>
      <c r="N23" s="109">
        <f>SUM(N21:N22)</f>
        <v>8736531.7100000009</v>
      </c>
    </row>
    <row r="24" spans="1:14" ht="18" customHeight="1">
      <c r="A24" s="78" t="s">
        <v>71</v>
      </c>
      <c r="B24" s="72"/>
      <c r="C24" s="72"/>
      <c r="D24" s="72"/>
      <c r="E24" s="94"/>
      <c r="F24" s="94"/>
      <c r="G24" s="94"/>
      <c r="H24" s="94"/>
      <c r="I24" s="94"/>
      <c r="J24" s="114">
        <f t="shared" ref="J24:J37" si="4">SUM(E24:I24)</f>
        <v>0</v>
      </c>
      <c r="K24" s="166">
        <f t="shared" si="1"/>
        <v>0</v>
      </c>
      <c r="M24" s="109">
        <v>10934284.82</v>
      </c>
      <c r="N24" s="109"/>
    </row>
    <row r="25" spans="1:14" ht="18" customHeight="1">
      <c r="A25" s="79" t="s">
        <v>91</v>
      </c>
      <c r="B25" s="72"/>
      <c r="C25" s="72"/>
      <c r="D25" s="72"/>
      <c r="E25" s="94"/>
      <c r="F25" s="94"/>
      <c r="G25" s="94"/>
      <c r="H25" s="94"/>
      <c r="I25" s="94"/>
      <c r="J25" s="114">
        <f t="shared" si="4"/>
        <v>0</v>
      </c>
      <c r="K25" s="166">
        <f t="shared" si="1"/>
        <v>0</v>
      </c>
      <c r="L25" s="109">
        <v>10634284.82</v>
      </c>
      <c r="M25" s="109">
        <f>M23-M24</f>
        <v>-677753.08999999985</v>
      </c>
      <c r="N25" s="109"/>
    </row>
    <row r="26" spans="1:14" ht="18" customHeight="1">
      <c r="A26" s="78" t="s">
        <v>17</v>
      </c>
      <c r="B26" s="72"/>
      <c r="C26" s="72"/>
      <c r="D26" s="72"/>
      <c r="E26" s="94"/>
      <c r="F26" s="94"/>
      <c r="G26" s="94"/>
      <c r="H26" s="94"/>
      <c r="I26" s="94"/>
      <c r="J26" s="114">
        <f t="shared" si="4"/>
        <v>0</v>
      </c>
      <c r="K26" s="166">
        <f t="shared" si="1"/>
        <v>0</v>
      </c>
      <c r="M26" s="109">
        <f>L25-M23</f>
        <v>377753.08999999985</v>
      </c>
      <c r="N26" s="109"/>
    </row>
    <row r="27" spans="1:14" ht="18" customHeight="1">
      <c r="A27" s="78" t="s">
        <v>18</v>
      </c>
      <c r="B27" s="72"/>
      <c r="C27" s="72"/>
      <c r="D27" s="72"/>
      <c r="E27" s="94"/>
      <c r="F27" s="94"/>
      <c r="G27" s="94"/>
      <c r="H27" s="94"/>
      <c r="I27" s="94"/>
      <c r="J27" s="114">
        <f t="shared" si="4"/>
        <v>0</v>
      </c>
      <c r="K27" s="166">
        <f t="shared" si="1"/>
        <v>0</v>
      </c>
      <c r="L27" s="118" t="s">
        <v>162</v>
      </c>
      <c r="M27" s="109">
        <f>M23*0.3</f>
        <v>3076959.5189999999</v>
      </c>
    </row>
    <row r="28" spans="1:14" ht="18" customHeight="1">
      <c r="A28" s="78" t="s">
        <v>102</v>
      </c>
      <c r="B28" s="72"/>
      <c r="C28" s="72"/>
      <c r="D28" s="72"/>
      <c r="E28" s="94"/>
      <c r="F28" s="94"/>
      <c r="G28" s="94"/>
      <c r="H28" s="94"/>
      <c r="I28" s="94"/>
      <c r="J28" s="114">
        <f t="shared" si="4"/>
        <v>0</v>
      </c>
      <c r="K28" s="166">
        <f t="shared" si="1"/>
        <v>0</v>
      </c>
      <c r="L28" s="109">
        <f>SUM(F27:F28)</f>
        <v>0</v>
      </c>
      <c r="M28" s="109">
        <f>M23*0.7</f>
        <v>7179572.2110000001</v>
      </c>
    </row>
    <row r="29" spans="1:14" ht="18" customHeight="1">
      <c r="A29" s="78" t="s">
        <v>19</v>
      </c>
      <c r="B29" s="72"/>
      <c r="C29" s="72"/>
      <c r="D29" s="72"/>
      <c r="E29" s="94"/>
      <c r="F29" s="94"/>
      <c r="G29" s="94"/>
      <c r="H29" s="94"/>
      <c r="I29" s="94"/>
      <c r="J29" s="114">
        <f t="shared" si="4"/>
        <v>0</v>
      </c>
      <c r="K29" s="166">
        <f t="shared" si="1"/>
        <v>0</v>
      </c>
      <c r="L29" s="109">
        <v>147060</v>
      </c>
    </row>
    <row r="30" spans="1:14" ht="18" customHeight="1">
      <c r="A30" s="78" t="s">
        <v>168</v>
      </c>
      <c r="B30" s="72"/>
      <c r="C30" s="72"/>
      <c r="D30" s="72"/>
      <c r="E30" s="94"/>
      <c r="F30" s="94"/>
      <c r="G30" s="94"/>
      <c r="H30" s="94"/>
      <c r="I30" s="94"/>
      <c r="J30" s="114">
        <f t="shared" si="4"/>
        <v>0</v>
      </c>
      <c r="K30" s="166">
        <f t="shared" si="1"/>
        <v>0</v>
      </c>
    </row>
    <row r="31" spans="1:14" ht="18" customHeight="1">
      <c r="A31" s="78" t="s">
        <v>98</v>
      </c>
      <c r="B31" s="72"/>
      <c r="C31" s="72"/>
      <c r="D31" s="72"/>
      <c r="E31" s="94"/>
      <c r="F31" s="94"/>
      <c r="G31" s="94"/>
      <c r="H31" s="94"/>
      <c r="I31" s="94"/>
      <c r="J31" s="114"/>
      <c r="K31" s="166">
        <f t="shared" si="1"/>
        <v>0</v>
      </c>
      <c r="L31" s="109">
        <v>1555500</v>
      </c>
    </row>
    <row r="32" spans="1:14" ht="18" customHeight="1">
      <c r="A32" s="78"/>
      <c r="B32" s="72" t="s">
        <v>5</v>
      </c>
      <c r="C32" s="72"/>
      <c r="D32" s="72"/>
      <c r="E32" s="94"/>
      <c r="F32" s="94"/>
      <c r="G32" s="94"/>
      <c r="H32" s="94"/>
      <c r="I32" s="94"/>
      <c r="J32" s="114">
        <f t="shared" si="4"/>
        <v>0</v>
      </c>
      <c r="K32" s="166">
        <f t="shared" si="1"/>
        <v>0</v>
      </c>
      <c r="L32" s="109">
        <v>229640</v>
      </c>
      <c r="M32" s="109">
        <v>2313123</v>
      </c>
    </row>
    <row r="33" spans="1:14" ht="18" customHeight="1">
      <c r="A33" s="78"/>
      <c r="B33" s="72" t="s">
        <v>97</v>
      </c>
      <c r="C33" s="72"/>
      <c r="D33" s="72"/>
      <c r="E33" s="94"/>
      <c r="F33" s="94"/>
      <c r="G33" s="94"/>
      <c r="H33" s="94"/>
      <c r="I33" s="94"/>
      <c r="J33" s="114">
        <f t="shared" si="4"/>
        <v>0</v>
      </c>
      <c r="K33" s="166">
        <f t="shared" si="1"/>
        <v>0</v>
      </c>
      <c r="L33" s="109">
        <v>2209000</v>
      </c>
    </row>
    <row r="34" spans="1:14" ht="18" customHeight="1">
      <c r="A34" s="78" t="s">
        <v>75</v>
      </c>
      <c r="B34" s="72"/>
      <c r="C34" s="72"/>
      <c r="D34" s="72"/>
      <c r="E34" s="94"/>
      <c r="F34" s="94"/>
      <c r="G34" s="94"/>
      <c r="H34" s="94"/>
      <c r="I34" s="94"/>
      <c r="J34" s="114">
        <f t="shared" si="4"/>
        <v>0</v>
      </c>
      <c r="K34" s="166">
        <f t="shared" si="1"/>
        <v>0</v>
      </c>
      <c r="L34" s="109">
        <v>173800</v>
      </c>
    </row>
    <row r="35" spans="1:14" ht="18" customHeight="1">
      <c r="A35" s="79" t="s">
        <v>94</v>
      </c>
      <c r="B35" s="72"/>
      <c r="C35" s="72"/>
      <c r="D35" s="72"/>
      <c r="E35" s="94"/>
      <c r="F35" s="94"/>
      <c r="G35" s="94"/>
      <c r="H35" s="94"/>
      <c r="I35" s="94"/>
      <c r="J35" s="114">
        <f t="shared" si="4"/>
        <v>0</v>
      </c>
      <c r="K35" s="166">
        <f t="shared" si="1"/>
        <v>0</v>
      </c>
      <c r="L35" s="109">
        <v>177000</v>
      </c>
    </row>
    <row r="36" spans="1:14" ht="18" customHeight="1">
      <c r="A36" s="79" t="s">
        <v>95</v>
      </c>
      <c r="B36" s="72"/>
      <c r="C36" s="72"/>
      <c r="D36" s="72"/>
      <c r="E36" s="94"/>
      <c r="F36" s="94"/>
      <c r="G36" s="94"/>
      <c r="H36" s="94"/>
      <c r="I36" s="94"/>
      <c r="J36" s="114">
        <f t="shared" si="4"/>
        <v>0</v>
      </c>
      <c r="K36" s="166">
        <f t="shared" si="1"/>
        <v>0</v>
      </c>
      <c r="L36" s="109">
        <v>204055</v>
      </c>
    </row>
    <row r="37" spans="1:14" ht="18" customHeight="1">
      <c r="A37" s="78" t="s">
        <v>96</v>
      </c>
      <c r="B37" s="72"/>
      <c r="C37" s="72"/>
      <c r="D37" s="72"/>
      <c r="E37" s="94"/>
      <c r="F37" s="94"/>
      <c r="G37" s="94"/>
      <c r="H37" s="94"/>
      <c r="I37" s="94"/>
      <c r="J37" s="114">
        <f t="shared" si="4"/>
        <v>0</v>
      </c>
      <c r="K37" s="166">
        <f t="shared" si="1"/>
        <v>0</v>
      </c>
      <c r="L37" s="109">
        <v>71070</v>
      </c>
    </row>
    <row r="38" spans="1:14" ht="18" customHeight="1">
      <c r="A38" s="84" t="s">
        <v>92</v>
      </c>
      <c r="B38" s="63"/>
      <c r="C38" s="63"/>
      <c r="D38" s="63"/>
      <c r="E38" s="94">
        <f t="shared" ref="E38:J38" si="5">SUM(E22:E37)</f>
        <v>0</v>
      </c>
      <c r="F38" s="94">
        <f t="shared" si="5"/>
        <v>0</v>
      </c>
      <c r="G38" s="94">
        <f t="shared" si="5"/>
        <v>0</v>
      </c>
      <c r="H38" s="94">
        <f t="shared" si="5"/>
        <v>0</v>
      </c>
      <c r="I38" s="94">
        <f t="shared" si="5"/>
        <v>0</v>
      </c>
      <c r="J38" s="94">
        <f t="shared" si="5"/>
        <v>0</v>
      </c>
      <c r="K38" s="166">
        <f t="shared" si="1"/>
        <v>0</v>
      </c>
      <c r="L38" s="109">
        <v>27800</v>
      </c>
      <c r="M38" s="46"/>
    </row>
    <row r="39" spans="1:14" ht="18" customHeight="1">
      <c r="A39" s="84" t="s">
        <v>103</v>
      </c>
      <c r="B39" s="63"/>
      <c r="C39" s="63"/>
      <c r="D39" s="63"/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66">
        <f t="shared" si="1"/>
        <v>0</v>
      </c>
      <c r="L39" s="109">
        <v>126865</v>
      </c>
      <c r="M39" s="109">
        <f>SUM(E39:H39)</f>
        <v>0</v>
      </c>
    </row>
    <row r="40" spans="1:14" ht="18" customHeight="1">
      <c r="A40" s="84" t="s">
        <v>104</v>
      </c>
      <c r="B40" s="63"/>
      <c r="C40" s="63"/>
      <c r="D40" s="63"/>
      <c r="E40" s="103">
        <f>SUM(E38:E39)</f>
        <v>0</v>
      </c>
      <c r="F40" s="103">
        <f>SUM(F38:F39)</f>
        <v>0</v>
      </c>
      <c r="G40" s="103">
        <f t="shared" ref="G40:J40" si="6">SUM(G38:G39)</f>
        <v>0</v>
      </c>
      <c r="H40" s="103">
        <f t="shared" si="6"/>
        <v>0</v>
      </c>
      <c r="I40" s="103">
        <f t="shared" si="6"/>
        <v>0</v>
      </c>
      <c r="J40" s="103">
        <f t="shared" si="6"/>
        <v>0</v>
      </c>
      <c r="K40" s="166">
        <f t="shared" si="1"/>
        <v>0</v>
      </c>
      <c r="L40" s="174">
        <f>SUM(L28:L39)</f>
        <v>4921790</v>
      </c>
      <c r="M40" s="109">
        <v>10492358.970000001</v>
      </c>
    </row>
    <row r="41" spans="1:14" ht="18" customHeight="1">
      <c r="A41" s="70" t="s">
        <v>93</v>
      </c>
      <c r="B41" s="72"/>
      <c r="C41" s="72"/>
      <c r="D41" s="80"/>
      <c r="E41" s="120">
        <f>E20-E38</f>
        <v>9715754.2566499989</v>
      </c>
      <c r="F41" s="120">
        <f t="shared" ref="F41:J41" si="7">F20-F38</f>
        <v>19564794.998849999</v>
      </c>
      <c r="G41" s="120">
        <f t="shared" si="7"/>
        <v>0</v>
      </c>
      <c r="H41" s="120">
        <f t="shared" si="7"/>
        <v>10140</v>
      </c>
      <c r="I41" s="120">
        <f t="shared" si="7"/>
        <v>0</v>
      </c>
      <c r="J41" s="120">
        <f t="shared" si="7"/>
        <v>29290689.255499996</v>
      </c>
      <c r="K41" s="166">
        <f>SUM(E41:I41)</f>
        <v>29290689.255499996</v>
      </c>
      <c r="L41" s="173">
        <f>K41-J13</f>
        <v>24094706.799999997</v>
      </c>
      <c r="M41" s="109">
        <f>M40-L40</f>
        <v>5570568.9700000007</v>
      </c>
    </row>
    <row r="42" spans="1:14" ht="18" customHeight="1">
      <c r="A42" s="55"/>
      <c r="B42" s="55"/>
      <c r="C42" s="55"/>
      <c r="D42" s="55"/>
      <c r="E42" s="55"/>
      <c r="F42" s="55"/>
      <c r="G42" s="55"/>
      <c r="H42" s="55"/>
      <c r="I42" s="55"/>
      <c r="J42" s="115" t="s">
        <v>74</v>
      </c>
      <c r="K42" s="92">
        <f>SUM(E41:F41)</f>
        <v>29280549.255499996</v>
      </c>
      <c r="M42" s="109">
        <v>0</v>
      </c>
    </row>
    <row r="43" spans="1:14" ht="18" customHeight="1">
      <c r="A43" s="55"/>
      <c r="B43" s="55"/>
      <c r="C43" s="55"/>
      <c r="D43" s="55"/>
      <c r="E43" s="55"/>
      <c r="F43" s="55"/>
      <c r="G43" s="55"/>
      <c r="H43" s="92"/>
      <c r="I43" s="55"/>
      <c r="J43" s="115"/>
      <c r="K43" s="121">
        <f>K42-J13</f>
        <v>24084566.799999997</v>
      </c>
      <c r="M43" s="109">
        <v>289860</v>
      </c>
    </row>
    <row r="44" spans="1:14" ht="18" customHeight="1">
      <c r="A44" s="55"/>
      <c r="B44" s="55"/>
      <c r="C44" s="55"/>
      <c r="D44" s="55"/>
      <c r="E44" s="55"/>
      <c r="F44" s="55"/>
      <c r="G44" s="55"/>
      <c r="H44" s="55"/>
      <c r="I44" s="55"/>
      <c r="J44" s="115"/>
      <c r="K44" s="92">
        <f>SUM(E40:F40)</f>
        <v>0</v>
      </c>
      <c r="M44" s="109">
        <f>SUM(M41:M43)</f>
        <v>5860428.9700000007</v>
      </c>
      <c r="N44" s="173">
        <f>SUM(L40+M44)</f>
        <v>10782218.970000001</v>
      </c>
    </row>
    <row r="45" spans="1:14">
      <c r="A45" s="55" t="s">
        <v>83</v>
      </c>
      <c r="B45" s="55"/>
      <c r="C45" s="55"/>
      <c r="D45" s="55"/>
      <c r="E45" s="55"/>
      <c r="F45" s="55"/>
      <c r="G45" s="55"/>
      <c r="H45" s="55" t="s">
        <v>29</v>
      </c>
      <c r="I45" s="55"/>
      <c r="J45" s="115"/>
      <c r="K45" s="55"/>
      <c r="L45" s="109">
        <v>752760</v>
      </c>
    </row>
    <row r="46" spans="1:14">
      <c r="A46" s="55"/>
      <c r="B46" s="55"/>
      <c r="C46" s="55"/>
      <c r="D46" s="55"/>
      <c r="E46" s="55"/>
      <c r="F46" s="55"/>
      <c r="G46" s="55"/>
      <c r="H46" s="55"/>
      <c r="I46" s="55"/>
      <c r="J46" s="115"/>
      <c r="K46" s="55"/>
      <c r="L46" s="109">
        <v>902075</v>
      </c>
    </row>
    <row r="47" spans="1:14">
      <c r="A47" s="55"/>
      <c r="B47" s="55"/>
      <c r="C47" s="55"/>
      <c r="D47" s="55"/>
      <c r="E47" s="55"/>
      <c r="F47" s="55"/>
      <c r="G47" s="55"/>
      <c r="H47" s="172"/>
      <c r="I47" s="55"/>
      <c r="J47" s="115"/>
      <c r="K47" s="55"/>
      <c r="L47" s="109">
        <v>1032329.7</v>
      </c>
      <c r="M47" s="109">
        <v>1897753.11</v>
      </c>
    </row>
    <row r="48" spans="1:14">
      <c r="A48" s="55" t="s">
        <v>84</v>
      </c>
      <c r="B48" s="55"/>
      <c r="C48" s="55"/>
      <c r="D48" s="55"/>
      <c r="E48" s="55"/>
      <c r="F48" s="55"/>
      <c r="G48" s="55"/>
      <c r="H48" s="140" t="s">
        <v>72</v>
      </c>
      <c r="I48" s="55"/>
      <c r="J48" s="115"/>
      <c r="K48" s="55"/>
      <c r="L48" s="109">
        <v>504234.65</v>
      </c>
      <c r="M48" s="109">
        <v>8736531.7100000009</v>
      </c>
    </row>
    <row r="49" spans="1:13">
      <c r="A49" s="140" t="s">
        <v>86</v>
      </c>
      <c r="B49" s="55"/>
      <c r="C49" s="55"/>
      <c r="D49" s="55"/>
      <c r="E49" s="55"/>
      <c r="F49" s="55"/>
      <c r="G49" s="55"/>
      <c r="H49" s="140" t="s">
        <v>85</v>
      </c>
      <c r="I49" s="55"/>
      <c r="J49" s="115"/>
      <c r="K49" s="55"/>
      <c r="L49" s="109">
        <v>899145</v>
      </c>
      <c r="M49" s="109">
        <v>10140</v>
      </c>
    </row>
    <row r="50" spans="1:13">
      <c r="A50" s="55"/>
      <c r="B50" s="55"/>
      <c r="C50" s="55"/>
      <c r="D50" s="55"/>
      <c r="E50" s="121"/>
      <c r="F50" s="55"/>
      <c r="G50" s="55"/>
      <c r="H50" s="55"/>
      <c r="I50" s="55"/>
      <c r="J50" s="115"/>
      <c r="K50" s="55"/>
      <c r="L50" s="109">
        <v>1087927.3999999999</v>
      </c>
      <c r="M50" s="109">
        <f>SUM(M47:M49)</f>
        <v>10644424.82</v>
      </c>
    </row>
    <row r="51" spans="1:13">
      <c r="A51" s="55"/>
      <c r="B51" s="55"/>
      <c r="C51" s="55"/>
      <c r="D51" s="55"/>
      <c r="E51" s="115"/>
      <c r="F51" s="55"/>
      <c r="G51" s="55"/>
      <c r="H51" s="55"/>
      <c r="I51" s="115"/>
      <c r="J51" s="115"/>
      <c r="K51" s="55"/>
      <c r="L51" s="109">
        <v>2896515.5</v>
      </c>
    </row>
    <row r="52" spans="1:13">
      <c r="A52" s="55"/>
      <c r="B52" s="55"/>
      <c r="C52" s="55"/>
      <c r="D52" s="55"/>
      <c r="E52" s="55"/>
      <c r="F52" s="55"/>
      <c r="G52" s="55"/>
      <c r="H52" s="55"/>
      <c r="I52" s="115"/>
      <c r="J52" s="115"/>
      <c r="K52" s="55"/>
      <c r="L52" s="109">
        <v>120000</v>
      </c>
    </row>
    <row r="53" spans="1:13">
      <c r="I53" s="109"/>
      <c r="M53" s="46"/>
    </row>
    <row r="54" spans="1:13">
      <c r="F54" s="121">
        <f>F18-F55</f>
        <v>17389640.698849998</v>
      </c>
      <c r="I54" s="109"/>
      <c r="K54" s="55"/>
      <c r="L54" s="115">
        <v>630000</v>
      </c>
      <c r="M54" s="183">
        <v>10644424.82</v>
      </c>
    </row>
    <row r="55" spans="1:13">
      <c r="F55" s="115">
        <f>49980+103610+255752.8+265335+81917.75+32889+315132+287135.25+143400+640002.5</f>
        <v>2175154.2999999998</v>
      </c>
      <c r="I55" s="109"/>
      <c r="J55" s="109">
        <v>7850000</v>
      </c>
      <c r="L55" s="109">
        <v>1000000</v>
      </c>
      <c r="M55" s="183">
        <v>13157941.960000001</v>
      </c>
    </row>
    <row r="56" spans="1:13">
      <c r="I56" s="109"/>
      <c r="J56" s="109">
        <v>800000</v>
      </c>
      <c r="L56" s="109">
        <v>1300000</v>
      </c>
      <c r="M56" s="184">
        <v>0</v>
      </c>
    </row>
    <row r="57" spans="1:13">
      <c r="I57" s="109"/>
      <c r="J57" s="109">
        <v>1200000</v>
      </c>
      <c r="L57" s="109">
        <v>2000000</v>
      </c>
      <c r="M57" s="183">
        <f>SUM(M54:M56)</f>
        <v>23802366.780000001</v>
      </c>
    </row>
    <row r="58" spans="1:13">
      <c r="I58" s="109"/>
      <c r="J58" s="109">
        <v>3500000</v>
      </c>
      <c r="L58" s="109">
        <v>150000</v>
      </c>
      <c r="M58" s="183">
        <v>24092226.780000001</v>
      </c>
    </row>
    <row r="59" spans="1:13">
      <c r="I59" s="109">
        <v>100000</v>
      </c>
      <c r="J59" s="116">
        <f>SUM(J55:J58)</f>
        <v>13350000</v>
      </c>
      <c r="L59" s="109">
        <v>4590281.96</v>
      </c>
      <c r="M59" s="183">
        <f>M58-M57</f>
        <v>289860</v>
      </c>
    </row>
    <row r="60" spans="1:13">
      <c r="I60" s="109">
        <v>4589687.1100000003</v>
      </c>
      <c r="J60" s="109">
        <v>16829861.079999998</v>
      </c>
      <c r="L60" s="109">
        <f>SUM(L54:L59)</f>
        <v>9670281.9600000009</v>
      </c>
      <c r="M60" s="46"/>
    </row>
    <row r="61" spans="1:13">
      <c r="I61" s="116">
        <f>SUM(I55:I60)</f>
        <v>4689687.1100000003</v>
      </c>
      <c r="J61" s="109">
        <f>J59-J60</f>
        <v>-3479861.0799999982</v>
      </c>
      <c r="M61" s="109">
        <v>24416573.030000001</v>
      </c>
    </row>
    <row r="62" spans="1:13">
      <c r="I62" s="109">
        <v>7212797.6100000003</v>
      </c>
      <c r="M62" s="109">
        <v>24708913.030000001</v>
      </c>
    </row>
    <row r="63" spans="1:13">
      <c r="I63" s="109">
        <f>I61-I62</f>
        <v>-2523110.5</v>
      </c>
      <c r="M63" s="109">
        <f>M61-M62</f>
        <v>-292340</v>
      </c>
    </row>
    <row r="64" spans="1:13">
      <c r="I64" s="109"/>
      <c r="M64" s="109">
        <v>289860</v>
      </c>
    </row>
    <row r="65" spans="1:13">
      <c r="I65" s="109"/>
      <c r="J65" s="109">
        <v>25346381.800000001</v>
      </c>
      <c r="M65" s="173">
        <f>SUM(M63:M64)</f>
        <v>-2480</v>
      </c>
    </row>
    <row r="66" spans="1:13">
      <c r="I66" s="109"/>
      <c r="J66" s="109">
        <v>24042658.690000001</v>
      </c>
      <c r="M66" s="46"/>
    </row>
    <row r="67" spans="1:13">
      <c r="I67" s="109"/>
      <c r="J67" s="109">
        <f>J65-J66</f>
        <v>1303723.1099999994</v>
      </c>
      <c r="M67" s="46"/>
    </row>
    <row r="68" spans="1:13">
      <c r="I68" s="109"/>
      <c r="M68" s="109">
        <v>25279.7</v>
      </c>
    </row>
    <row r="69" spans="1:13">
      <c r="I69" s="109"/>
      <c r="K69" s="109">
        <v>1897753.11</v>
      </c>
      <c r="M69" s="109">
        <v>27759.7</v>
      </c>
    </row>
    <row r="70" spans="1:13">
      <c r="H70" s="109"/>
      <c r="I70" s="109"/>
      <c r="K70" s="109">
        <v>10256531.73</v>
      </c>
      <c r="L70" s="109">
        <f>K70*0.3</f>
        <v>3076959.5189999999</v>
      </c>
      <c r="M70" s="173">
        <f>M68-M69</f>
        <v>-2480</v>
      </c>
    </row>
    <row r="71" spans="1:13">
      <c r="H71" s="109">
        <v>4455551.57</v>
      </c>
      <c r="I71" s="109"/>
      <c r="J71" s="109">
        <v>17496381.800000001</v>
      </c>
      <c r="K71" s="109">
        <v>10140</v>
      </c>
      <c r="L71" s="109">
        <f>K70*0.7</f>
        <v>7179572.2110000001</v>
      </c>
      <c r="M71" s="46"/>
    </row>
    <row r="72" spans="1:13">
      <c r="H72" s="109">
        <v>5760963.6399999997</v>
      </c>
      <c r="I72" s="109"/>
      <c r="J72" s="109">
        <v>7850000</v>
      </c>
      <c r="K72" s="195">
        <f>SUM(K69:K71)</f>
        <v>12164424.84</v>
      </c>
      <c r="L72" s="109">
        <f>SUM(L70:L71)</f>
        <v>10256531.73</v>
      </c>
      <c r="M72" s="46"/>
    </row>
    <row r="73" spans="1:13">
      <c r="H73" s="109">
        <f>SUM(H71:H72)</f>
        <v>10216515.210000001</v>
      </c>
      <c r="I73" s="109"/>
      <c r="J73" s="109">
        <f>SUM(J71:J72)</f>
        <v>25346381.800000001</v>
      </c>
      <c r="K73" s="109">
        <v>11930281.939999999</v>
      </c>
      <c r="M73" s="46"/>
    </row>
    <row r="74" spans="1:13" s="109" customFormat="1">
      <c r="A74" s="46"/>
      <c r="B74" s="46"/>
      <c r="C74" s="46"/>
      <c r="D74" s="46"/>
      <c r="E74" s="46"/>
      <c r="F74" s="46"/>
      <c r="G74" s="46"/>
      <c r="K74" s="195">
        <f>SUM(K72:K73)</f>
        <v>24094706.780000001</v>
      </c>
    </row>
    <row r="75" spans="1:13" s="109" customFormat="1">
      <c r="A75" s="46"/>
      <c r="B75" s="46"/>
      <c r="C75" s="46"/>
      <c r="D75" s="46"/>
      <c r="E75" s="46"/>
      <c r="F75" s="46"/>
      <c r="G75" s="46"/>
      <c r="K75" s="115">
        <v>24094706.780000001</v>
      </c>
      <c r="L75" s="109">
        <f>SUM(J14:J17)</f>
        <v>24094706.799999997</v>
      </c>
    </row>
    <row r="76" spans="1:13" s="109" customFormat="1">
      <c r="A76" s="46"/>
      <c r="B76" s="46"/>
      <c r="C76" s="46"/>
      <c r="D76" s="46"/>
      <c r="E76" s="46"/>
      <c r="F76" s="46"/>
      <c r="G76" s="46"/>
      <c r="J76" s="109">
        <v>1897753.11</v>
      </c>
      <c r="K76" s="116">
        <f>K74-K75</f>
        <v>0</v>
      </c>
      <c r="L76" s="109">
        <f>K75-L75</f>
        <v>-1.9999995827674866E-2</v>
      </c>
    </row>
    <row r="77" spans="1:13" s="109" customFormat="1">
      <c r="A77" s="46"/>
      <c r="B77" s="46"/>
      <c r="C77" s="46"/>
      <c r="D77" s="46"/>
      <c r="E77" s="46"/>
      <c r="F77" s="46"/>
      <c r="G77" s="46"/>
      <c r="J77" s="109">
        <v>11930281.960000001</v>
      </c>
    </row>
    <row r="78" spans="1:13" s="109" customFormat="1">
      <c r="A78" s="46"/>
      <c r="B78" s="46"/>
      <c r="C78" s="46"/>
      <c r="D78" s="46"/>
      <c r="E78" s="46"/>
      <c r="F78" s="46"/>
      <c r="G78" s="46"/>
      <c r="J78" s="109">
        <v>8736531.7100000009</v>
      </c>
    </row>
    <row r="79" spans="1:13" s="109" customFormat="1">
      <c r="A79" s="46"/>
      <c r="B79" s="46"/>
      <c r="C79" s="46"/>
      <c r="D79" s="46"/>
      <c r="E79" s="46"/>
      <c r="F79" s="46"/>
      <c r="G79" s="46"/>
      <c r="J79" s="109">
        <v>10140</v>
      </c>
    </row>
    <row r="80" spans="1:13" s="109" customFormat="1">
      <c r="A80" s="46"/>
      <c r="B80" s="46"/>
      <c r="C80" s="46"/>
      <c r="D80" s="46"/>
      <c r="E80" s="46"/>
      <c r="F80" s="46"/>
      <c r="G80" s="46"/>
      <c r="J80" s="109">
        <f>SUM(J76:J79)</f>
        <v>22574706.780000001</v>
      </c>
    </row>
    <row r="81" spans="1:11" s="109" customFormat="1">
      <c r="A81" s="46"/>
      <c r="B81" s="46"/>
      <c r="C81" s="46"/>
      <c r="D81" s="46"/>
      <c r="E81" s="46"/>
      <c r="F81" s="46"/>
      <c r="G81" s="46"/>
      <c r="H81" s="46"/>
      <c r="J81" s="109">
        <v>24094706.780000001</v>
      </c>
    </row>
    <row r="82" spans="1:11" s="109" customFormat="1">
      <c r="A82" s="46"/>
      <c r="B82" s="46"/>
      <c r="C82" s="46"/>
      <c r="D82" s="46"/>
      <c r="E82" s="46"/>
      <c r="F82" s="46"/>
      <c r="G82" s="46"/>
      <c r="H82" s="46"/>
      <c r="J82" s="109">
        <f>J80-J81</f>
        <v>-1520000</v>
      </c>
    </row>
    <row r="83" spans="1:11" s="109" customFormat="1">
      <c r="A83" s="46"/>
      <c r="B83" s="46"/>
      <c r="C83" s="46"/>
      <c r="D83" s="46"/>
      <c r="E83" s="46"/>
      <c r="F83" s="46"/>
      <c r="G83" s="46"/>
      <c r="H83" s="46"/>
    </row>
    <row r="84" spans="1:11" s="109" customFormat="1">
      <c r="A84" s="46"/>
      <c r="B84" s="46"/>
      <c r="C84" s="46"/>
      <c r="D84" s="46"/>
      <c r="E84" s="46"/>
      <c r="F84" s="46"/>
      <c r="G84" s="46"/>
      <c r="H84" s="46"/>
    </row>
    <row r="85" spans="1:11" s="109" customFormat="1">
      <c r="A85" s="46"/>
      <c r="B85" s="46"/>
      <c r="C85" s="46"/>
      <c r="D85" s="46"/>
      <c r="E85" s="46"/>
      <c r="F85" s="46"/>
      <c r="G85" s="46"/>
      <c r="H85" s="46"/>
      <c r="K85" s="46"/>
    </row>
    <row r="86" spans="1:11" s="109" customFormat="1">
      <c r="A86" s="46"/>
      <c r="B86" s="46"/>
      <c r="C86" s="46"/>
      <c r="D86" s="46"/>
      <c r="E86" s="46"/>
      <c r="F86" s="46"/>
      <c r="G86" s="46"/>
      <c r="H86" s="46"/>
      <c r="K86" s="46"/>
    </row>
    <row r="87" spans="1:11" s="109" customFormat="1">
      <c r="A87" s="46"/>
      <c r="B87" s="46"/>
      <c r="C87" s="46"/>
      <c r="D87" s="46"/>
      <c r="E87" s="46"/>
      <c r="F87" s="46"/>
      <c r="G87" s="46"/>
      <c r="H87" s="46"/>
      <c r="K87" s="46"/>
    </row>
    <row r="88" spans="1:11" s="109" customFormat="1">
      <c r="A88" s="46"/>
      <c r="B88" s="46"/>
      <c r="C88" s="46"/>
      <c r="D88" s="46"/>
      <c r="E88" s="46"/>
      <c r="F88" s="46"/>
      <c r="G88" s="46"/>
      <c r="H88" s="46"/>
      <c r="K88" s="46"/>
    </row>
    <row r="89" spans="1:11" s="109" customFormat="1">
      <c r="A89" s="46"/>
      <c r="B89" s="46"/>
      <c r="C89" s="46"/>
      <c r="D89" s="46"/>
      <c r="E89" s="46"/>
      <c r="F89" s="46"/>
      <c r="G89" s="46"/>
      <c r="H89" s="46"/>
      <c r="K89" s="46"/>
    </row>
    <row r="90" spans="1:11" s="109" customFormat="1">
      <c r="A90" s="46"/>
      <c r="B90" s="46"/>
      <c r="C90" s="46"/>
      <c r="D90" s="46"/>
      <c r="E90" s="46"/>
      <c r="F90" s="46"/>
      <c r="G90" s="46"/>
      <c r="H90" s="46"/>
      <c r="K90" s="46"/>
    </row>
    <row r="91" spans="1:11" s="109" customFormat="1">
      <c r="A91" s="46"/>
      <c r="B91" s="46"/>
      <c r="C91" s="46"/>
      <c r="D91" s="46"/>
      <c r="E91" s="46"/>
      <c r="F91" s="46"/>
      <c r="G91" s="46"/>
      <c r="H91" s="46"/>
      <c r="K91" s="46"/>
    </row>
    <row r="92" spans="1:11" s="109" customFormat="1">
      <c r="A92" s="46"/>
      <c r="B92" s="46"/>
      <c r="C92" s="46"/>
      <c r="D92" s="46"/>
      <c r="E92" s="46"/>
      <c r="F92" s="46"/>
      <c r="G92" s="46"/>
      <c r="H92" s="46"/>
      <c r="K92" s="46"/>
    </row>
    <row r="93" spans="1:11" s="109" customFormat="1">
      <c r="A93" s="46"/>
      <c r="B93" s="46"/>
      <c r="C93" s="46"/>
      <c r="D93" s="46"/>
      <c r="E93" s="46"/>
      <c r="F93" s="46"/>
      <c r="G93" s="46"/>
      <c r="H93" s="46"/>
      <c r="K93" s="46"/>
    </row>
    <row r="94" spans="1:11" s="109" customFormat="1">
      <c r="A94" s="46"/>
      <c r="B94" s="46"/>
      <c r="C94" s="46"/>
      <c r="D94" s="46"/>
      <c r="E94" s="46"/>
      <c r="F94" s="46"/>
      <c r="G94" s="46"/>
      <c r="H94" s="46"/>
      <c r="K94" s="46"/>
    </row>
    <row r="95" spans="1:11" s="109" customFormat="1">
      <c r="A95" s="46"/>
      <c r="B95" s="46"/>
      <c r="C95" s="46"/>
      <c r="D95" s="46"/>
      <c r="E95" s="46"/>
      <c r="F95" s="46"/>
      <c r="G95" s="46"/>
      <c r="H95" s="46"/>
      <c r="K95" s="46"/>
    </row>
    <row r="96" spans="1:11" s="109" customFormat="1">
      <c r="A96" s="46"/>
      <c r="B96" s="46"/>
      <c r="C96" s="46"/>
      <c r="D96" s="46"/>
      <c r="E96" s="46"/>
      <c r="F96" s="46"/>
      <c r="G96" s="46"/>
      <c r="H96" s="46"/>
      <c r="K96" s="46"/>
    </row>
    <row r="97" spans="1:11" s="109" customFormat="1">
      <c r="A97" s="46"/>
      <c r="B97" s="46"/>
      <c r="C97" s="46"/>
      <c r="D97" s="46"/>
      <c r="E97" s="46"/>
      <c r="F97" s="46"/>
      <c r="G97" s="46"/>
      <c r="H97" s="46"/>
      <c r="K97" s="46"/>
    </row>
    <row r="98" spans="1:11" s="109" customFormat="1">
      <c r="A98" s="46"/>
      <c r="B98" s="46"/>
      <c r="C98" s="46"/>
      <c r="D98" s="46"/>
      <c r="E98" s="46"/>
      <c r="F98" s="46"/>
      <c r="G98" s="46"/>
      <c r="H98" s="46"/>
      <c r="K98" s="46"/>
    </row>
    <row r="99" spans="1:11" s="109" customFormat="1">
      <c r="A99" s="46"/>
      <c r="B99" s="46"/>
      <c r="C99" s="46"/>
      <c r="D99" s="46"/>
      <c r="E99" s="46"/>
      <c r="F99" s="46"/>
      <c r="G99" s="46"/>
      <c r="H99" s="46"/>
      <c r="K99" s="46"/>
    </row>
    <row r="100" spans="1:11" s="109" customFormat="1">
      <c r="A100" s="46"/>
      <c r="B100" s="46"/>
      <c r="C100" s="46"/>
      <c r="D100" s="46"/>
      <c r="E100" s="46"/>
      <c r="F100" s="46"/>
      <c r="G100" s="46"/>
      <c r="H100" s="46"/>
      <c r="K100" s="46"/>
    </row>
    <row r="101" spans="1:11" s="109" customFormat="1">
      <c r="A101" s="46"/>
      <c r="B101" s="46"/>
      <c r="C101" s="46"/>
      <c r="D101" s="46"/>
      <c r="E101" s="46"/>
      <c r="F101" s="46"/>
      <c r="G101" s="46"/>
      <c r="H101" s="46"/>
      <c r="K101" s="46"/>
    </row>
    <row r="102" spans="1:11" s="109" customFormat="1">
      <c r="A102" s="46"/>
      <c r="B102" s="46"/>
      <c r="C102" s="46"/>
      <c r="D102" s="46"/>
      <c r="E102" s="46"/>
      <c r="F102" s="46"/>
      <c r="G102" s="46"/>
      <c r="H102" s="46"/>
      <c r="K102" s="46"/>
    </row>
    <row r="103" spans="1:11" s="109" customFormat="1">
      <c r="A103" s="46"/>
      <c r="B103" s="46"/>
      <c r="C103" s="46"/>
      <c r="D103" s="46"/>
      <c r="E103" s="46"/>
      <c r="F103" s="46"/>
      <c r="G103" s="46"/>
      <c r="H103" s="46"/>
      <c r="K103" s="46"/>
    </row>
    <row r="104" spans="1:11" s="109" customFormat="1">
      <c r="A104" s="46"/>
      <c r="B104" s="46"/>
      <c r="C104" s="46"/>
      <c r="D104" s="46"/>
      <c r="E104" s="46"/>
      <c r="F104" s="46"/>
      <c r="G104" s="46"/>
      <c r="H104" s="46"/>
      <c r="K104" s="46"/>
    </row>
    <row r="105" spans="1:11" s="109" customFormat="1">
      <c r="A105" s="46"/>
      <c r="B105" s="46"/>
      <c r="C105" s="46"/>
      <c r="D105" s="46"/>
      <c r="E105" s="46"/>
      <c r="F105" s="46"/>
      <c r="G105" s="46"/>
      <c r="H105" s="46"/>
      <c r="K105" s="46"/>
    </row>
    <row r="106" spans="1:11" s="109" customFormat="1">
      <c r="A106" s="46"/>
      <c r="B106" s="46"/>
      <c r="C106" s="46"/>
      <c r="D106" s="46"/>
      <c r="E106" s="46"/>
      <c r="F106" s="46"/>
      <c r="G106" s="46"/>
      <c r="H106" s="46"/>
      <c r="K106" s="46"/>
    </row>
    <row r="107" spans="1:11" s="109" customFormat="1">
      <c r="A107" s="46"/>
      <c r="B107" s="46"/>
      <c r="C107" s="46"/>
      <c r="D107" s="46"/>
      <c r="E107" s="46"/>
      <c r="F107" s="46"/>
      <c r="G107" s="46"/>
      <c r="H107" s="46"/>
      <c r="K107" s="46"/>
    </row>
    <row r="108" spans="1:11" s="109" customFormat="1">
      <c r="A108" s="46"/>
      <c r="B108" s="46"/>
      <c r="C108" s="46"/>
      <c r="D108" s="46"/>
      <c r="E108" s="46"/>
      <c r="F108" s="46"/>
      <c r="G108" s="46"/>
      <c r="H108" s="46"/>
      <c r="K108" s="46"/>
    </row>
    <row r="109" spans="1:11" s="109" customFormat="1">
      <c r="A109" s="46"/>
      <c r="B109" s="46"/>
      <c r="C109" s="46"/>
      <c r="D109" s="46"/>
      <c r="E109" s="46"/>
      <c r="F109" s="46"/>
      <c r="G109" s="46"/>
      <c r="H109" s="46"/>
      <c r="K109" s="46"/>
    </row>
    <row r="110" spans="1:11" s="109" customFormat="1">
      <c r="A110" s="46"/>
      <c r="B110" s="46"/>
      <c r="C110" s="46"/>
      <c r="D110" s="46"/>
      <c r="E110" s="46"/>
      <c r="F110" s="46"/>
      <c r="G110" s="46"/>
      <c r="H110" s="46"/>
      <c r="K110" s="46"/>
    </row>
    <row r="111" spans="1:11" s="109" customFormat="1">
      <c r="A111" s="46"/>
      <c r="B111" s="46"/>
      <c r="C111" s="46"/>
      <c r="D111" s="46"/>
      <c r="E111" s="46"/>
      <c r="F111" s="46"/>
      <c r="G111" s="46"/>
      <c r="H111" s="46"/>
      <c r="K111" s="46"/>
    </row>
    <row r="112" spans="1:11" s="109" customFormat="1">
      <c r="A112" s="46"/>
      <c r="B112" s="46"/>
      <c r="C112" s="46"/>
      <c r="D112" s="46"/>
      <c r="E112" s="46"/>
      <c r="F112" s="46"/>
      <c r="G112" s="46"/>
      <c r="H112" s="46"/>
      <c r="K112" s="46"/>
    </row>
    <row r="113" spans="1:11" s="109" customFormat="1">
      <c r="A113" s="46"/>
      <c r="B113" s="46"/>
      <c r="C113" s="46"/>
      <c r="D113" s="46"/>
      <c r="E113" s="46"/>
      <c r="F113" s="46"/>
      <c r="G113" s="46"/>
      <c r="H113" s="46"/>
      <c r="K113" s="46"/>
    </row>
    <row r="114" spans="1:11" s="109" customFormat="1">
      <c r="A114" s="46"/>
      <c r="B114" s="46"/>
      <c r="C114" s="46"/>
      <c r="D114" s="46"/>
      <c r="E114" s="46"/>
      <c r="F114" s="46"/>
      <c r="G114" s="46"/>
      <c r="H114" s="46"/>
      <c r="K114" s="46"/>
    </row>
    <row r="115" spans="1:11" s="109" customFormat="1">
      <c r="A115" s="46"/>
      <c r="B115" s="46"/>
      <c r="C115" s="46"/>
      <c r="D115" s="46"/>
      <c r="E115" s="46"/>
      <c r="F115" s="46"/>
      <c r="G115" s="46"/>
      <c r="H115" s="46"/>
      <c r="K115" s="46"/>
    </row>
    <row r="116" spans="1:11" s="109" customFormat="1">
      <c r="A116" s="46"/>
      <c r="B116" s="46"/>
      <c r="C116" s="46"/>
      <c r="D116" s="46"/>
      <c r="E116" s="46"/>
      <c r="F116" s="46"/>
      <c r="G116" s="46"/>
      <c r="H116" s="46"/>
      <c r="K116" s="46"/>
    </row>
    <row r="117" spans="1:11" s="109" customFormat="1">
      <c r="A117" s="46"/>
      <c r="B117" s="46"/>
      <c r="C117" s="46"/>
      <c r="D117" s="46"/>
      <c r="E117" s="46"/>
      <c r="F117" s="46"/>
      <c r="G117" s="46"/>
      <c r="H117" s="46"/>
      <c r="K117" s="46"/>
    </row>
    <row r="118" spans="1:11" s="109" customFormat="1">
      <c r="A118" s="46"/>
      <c r="B118" s="46"/>
      <c r="C118" s="46"/>
      <c r="D118" s="46"/>
      <c r="E118" s="46"/>
      <c r="F118" s="46"/>
      <c r="G118" s="46"/>
      <c r="H118" s="46"/>
      <c r="K118" s="46"/>
    </row>
    <row r="119" spans="1:11" s="109" customFormat="1">
      <c r="A119" s="46"/>
      <c r="B119" s="46"/>
      <c r="C119" s="46"/>
      <c r="D119" s="46"/>
      <c r="E119" s="46"/>
      <c r="F119" s="46"/>
      <c r="G119" s="46"/>
      <c r="H119" s="46"/>
      <c r="K119" s="46"/>
    </row>
    <row r="120" spans="1:11" s="109" customFormat="1">
      <c r="A120" s="46"/>
      <c r="B120" s="46"/>
      <c r="C120" s="46"/>
      <c r="D120" s="46"/>
      <c r="E120" s="46"/>
      <c r="F120" s="46"/>
      <c r="G120" s="46"/>
      <c r="H120" s="46"/>
      <c r="K120" s="46"/>
    </row>
    <row r="121" spans="1:11" s="109" customFormat="1">
      <c r="A121" s="46"/>
      <c r="B121" s="46"/>
      <c r="C121" s="46"/>
      <c r="D121" s="46"/>
      <c r="E121" s="46"/>
      <c r="F121" s="46"/>
      <c r="G121" s="46"/>
      <c r="H121" s="46"/>
      <c r="K121" s="46"/>
    </row>
    <row r="122" spans="1:11" s="109" customFormat="1">
      <c r="A122" s="46"/>
      <c r="B122" s="46"/>
      <c r="C122" s="46"/>
      <c r="D122" s="46"/>
      <c r="E122" s="46"/>
      <c r="F122" s="46"/>
      <c r="G122" s="46"/>
      <c r="H122" s="46"/>
      <c r="K122" s="46"/>
    </row>
    <row r="123" spans="1:11" s="109" customFormat="1">
      <c r="A123" s="46"/>
      <c r="B123" s="46"/>
      <c r="C123" s="46"/>
      <c r="D123" s="46"/>
      <c r="E123" s="46"/>
      <c r="F123" s="46"/>
      <c r="G123" s="46"/>
      <c r="H123" s="46"/>
      <c r="K123" s="46"/>
    </row>
    <row r="124" spans="1:11" s="109" customFormat="1">
      <c r="A124" s="46"/>
      <c r="B124" s="46"/>
      <c r="C124" s="46"/>
      <c r="D124" s="46"/>
      <c r="E124" s="46"/>
      <c r="F124" s="46"/>
      <c r="G124" s="46"/>
      <c r="H124" s="46"/>
      <c r="K124" s="46"/>
    </row>
    <row r="125" spans="1:11" s="109" customFormat="1">
      <c r="A125" s="46"/>
      <c r="B125" s="46"/>
      <c r="C125" s="46"/>
      <c r="D125" s="46"/>
      <c r="E125" s="46"/>
      <c r="F125" s="46"/>
      <c r="G125" s="46"/>
      <c r="H125" s="46"/>
      <c r="K125" s="46"/>
    </row>
    <row r="126" spans="1:11" s="109" customFormat="1">
      <c r="A126" s="46"/>
      <c r="B126" s="46"/>
      <c r="C126" s="46"/>
      <c r="D126" s="46"/>
      <c r="E126" s="46"/>
      <c r="F126" s="46"/>
      <c r="G126" s="46"/>
      <c r="H126" s="46"/>
      <c r="K126" s="46"/>
    </row>
    <row r="127" spans="1:11" s="109" customFormat="1">
      <c r="A127" s="46"/>
      <c r="B127" s="46"/>
      <c r="C127" s="46"/>
      <c r="D127" s="46"/>
      <c r="E127" s="46"/>
      <c r="F127" s="46"/>
      <c r="G127" s="46"/>
      <c r="H127" s="46"/>
      <c r="K127" s="46"/>
    </row>
    <row r="128" spans="1:11" s="109" customFormat="1">
      <c r="A128" s="46"/>
      <c r="B128" s="46"/>
      <c r="C128" s="46"/>
      <c r="D128" s="46"/>
      <c r="E128" s="46"/>
      <c r="F128" s="46"/>
      <c r="G128" s="46"/>
      <c r="H128" s="46"/>
      <c r="K128" s="46"/>
    </row>
    <row r="129" spans="1:11" s="109" customFormat="1">
      <c r="A129" s="46"/>
      <c r="B129" s="46"/>
      <c r="C129" s="46"/>
      <c r="D129" s="46"/>
      <c r="E129" s="46"/>
      <c r="F129" s="46"/>
      <c r="G129" s="46"/>
      <c r="H129" s="46"/>
      <c r="K129" s="46"/>
    </row>
    <row r="130" spans="1:11" s="109" customFormat="1">
      <c r="A130" s="46"/>
      <c r="B130" s="46"/>
      <c r="C130" s="46"/>
      <c r="D130" s="46"/>
      <c r="E130" s="46"/>
      <c r="F130" s="46"/>
      <c r="G130" s="46"/>
      <c r="H130" s="46"/>
      <c r="K130" s="46"/>
    </row>
    <row r="131" spans="1:11" s="109" customFormat="1">
      <c r="A131" s="46"/>
      <c r="B131" s="46"/>
      <c r="C131" s="46"/>
      <c r="D131" s="46"/>
      <c r="E131" s="46"/>
      <c r="F131" s="46"/>
      <c r="G131" s="46"/>
      <c r="H131" s="46"/>
      <c r="K131" s="46"/>
    </row>
    <row r="132" spans="1:11" s="109" customFormat="1">
      <c r="A132" s="46"/>
      <c r="B132" s="46"/>
      <c r="C132" s="46"/>
      <c r="D132" s="46"/>
      <c r="E132" s="46"/>
      <c r="F132" s="46"/>
      <c r="G132" s="46"/>
      <c r="H132" s="46"/>
      <c r="K132" s="46"/>
    </row>
    <row r="133" spans="1:11" s="109" customFormat="1">
      <c r="A133" s="46"/>
      <c r="B133" s="46"/>
      <c r="C133" s="46"/>
      <c r="D133" s="46"/>
      <c r="E133" s="46"/>
      <c r="F133" s="46"/>
      <c r="G133" s="46"/>
      <c r="H133" s="46"/>
      <c r="K133" s="46"/>
    </row>
    <row r="134" spans="1:11" s="109" customFormat="1">
      <c r="A134" s="46"/>
      <c r="B134" s="46"/>
      <c r="C134" s="46"/>
      <c r="D134" s="46"/>
      <c r="E134" s="46"/>
      <c r="F134" s="46"/>
      <c r="G134" s="46"/>
      <c r="H134" s="46"/>
      <c r="K134" s="46"/>
    </row>
    <row r="135" spans="1:11" s="109" customFormat="1">
      <c r="A135" s="46"/>
      <c r="B135" s="46"/>
      <c r="C135" s="46"/>
      <c r="D135" s="46"/>
      <c r="E135" s="46"/>
      <c r="F135" s="46"/>
      <c r="G135" s="46"/>
      <c r="H135" s="46"/>
      <c r="K135" s="46"/>
    </row>
    <row r="136" spans="1:11" s="109" customFormat="1">
      <c r="A136" s="46"/>
      <c r="B136" s="46"/>
      <c r="C136" s="46"/>
      <c r="D136" s="46"/>
      <c r="E136" s="46"/>
      <c r="F136" s="46"/>
      <c r="G136" s="46"/>
      <c r="H136" s="46"/>
      <c r="K136" s="46"/>
    </row>
    <row r="137" spans="1:11" s="109" customFormat="1">
      <c r="A137" s="46"/>
      <c r="B137" s="46"/>
      <c r="C137" s="46"/>
      <c r="D137" s="46"/>
      <c r="E137" s="46"/>
      <c r="F137" s="46"/>
      <c r="G137" s="46"/>
      <c r="H137" s="46"/>
      <c r="K137" s="46"/>
    </row>
    <row r="138" spans="1:11" s="109" customFormat="1">
      <c r="A138" s="46"/>
      <c r="B138" s="46"/>
      <c r="C138" s="46"/>
      <c r="D138" s="46"/>
      <c r="E138" s="46"/>
      <c r="F138" s="46"/>
      <c r="G138" s="46"/>
      <c r="H138" s="46"/>
      <c r="K138" s="46"/>
    </row>
    <row r="139" spans="1:11" s="109" customFormat="1">
      <c r="A139" s="46"/>
      <c r="B139" s="46"/>
      <c r="C139" s="46"/>
      <c r="D139" s="46"/>
      <c r="E139" s="46"/>
      <c r="F139" s="46"/>
      <c r="G139" s="46"/>
      <c r="H139" s="46"/>
      <c r="K139" s="46"/>
    </row>
    <row r="140" spans="1:11" s="109" customFormat="1">
      <c r="A140" s="46"/>
      <c r="B140" s="46"/>
      <c r="C140" s="46"/>
      <c r="D140" s="46"/>
      <c r="E140" s="46"/>
      <c r="F140" s="46"/>
      <c r="G140" s="46"/>
      <c r="H140" s="46"/>
      <c r="K140" s="46"/>
    </row>
    <row r="141" spans="1:11" s="109" customFormat="1">
      <c r="A141" s="46"/>
      <c r="B141" s="46"/>
      <c r="C141" s="46"/>
      <c r="D141" s="46"/>
      <c r="E141" s="46"/>
      <c r="F141" s="46"/>
      <c r="G141" s="46"/>
      <c r="H141" s="46"/>
      <c r="K141" s="46"/>
    </row>
    <row r="142" spans="1:11" s="109" customFormat="1">
      <c r="A142" s="46"/>
      <c r="B142" s="46"/>
      <c r="C142" s="46"/>
      <c r="D142" s="46"/>
      <c r="E142" s="46"/>
      <c r="F142" s="46"/>
      <c r="G142" s="46"/>
      <c r="H142" s="46"/>
      <c r="K142" s="46"/>
    </row>
    <row r="143" spans="1:11" s="109" customFormat="1">
      <c r="A143" s="46"/>
      <c r="B143" s="46"/>
      <c r="C143" s="46"/>
      <c r="D143" s="46"/>
      <c r="E143" s="46"/>
      <c r="F143" s="46"/>
      <c r="G143" s="46"/>
      <c r="H143" s="46"/>
      <c r="K143" s="46"/>
    </row>
    <row r="144" spans="1:11" s="109" customFormat="1">
      <c r="A144" s="46"/>
      <c r="B144" s="46"/>
      <c r="C144" s="46"/>
      <c r="D144" s="46"/>
      <c r="E144" s="46"/>
      <c r="F144" s="46"/>
      <c r="G144" s="46"/>
      <c r="H144" s="46"/>
      <c r="K144" s="46"/>
    </row>
    <row r="145" spans="1:11" s="109" customFormat="1">
      <c r="A145" s="46"/>
      <c r="B145" s="46"/>
      <c r="C145" s="46"/>
      <c r="D145" s="46"/>
      <c r="E145" s="46"/>
      <c r="F145" s="46"/>
      <c r="G145" s="46"/>
      <c r="H145" s="46"/>
      <c r="K145" s="46"/>
    </row>
    <row r="146" spans="1:11" s="109" customFormat="1">
      <c r="A146" s="46"/>
      <c r="B146" s="46"/>
      <c r="C146" s="46"/>
      <c r="D146" s="46"/>
      <c r="E146" s="46"/>
      <c r="F146" s="46"/>
      <c r="G146" s="46"/>
      <c r="H146" s="46"/>
      <c r="K146" s="46"/>
    </row>
    <row r="147" spans="1:11" s="109" customFormat="1">
      <c r="A147" s="46"/>
      <c r="B147" s="46"/>
      <c r="C147" s="46"/>
      <c r="D147" s="46"/>
      <c r="E147" s="46"/>
      <c r="F147" s="46"/>
      <c r="G147" s="46"/>
      <c r="H147" s="46"/>
      <c r="K147" s="46"/>
    </row>
    <row r="148" spans="1:11" s="109" customFormat="1">
      <c r="A148" s="46"/>
      <c r="B148" s="46"/>
      <c r="C148" s="46"/>
      <c r="D148" s="46"/>
      <c r="E148" s="46"/>
      <c r="F148" s="46"/>
      <c r="G148" s="46"/>
      <c r="H148" s="46"/>
      <c r="K148" s="46"/>
    </row>
    <row r="149" spans="1:11" s="109" customFormat="1">
      <c r="A149" s="46"/>
      <c r="B149" s="46"/>
      <c r="C149" s="46"/>
      <c r="D149" s="46"/>
      <c r="E149" s="46"/>
      <c r="F149" s="46"/>
      <c r="G149" s="46"/>
      <c r="H149" s="46"/>
      <c r="K149" s="46"/>
    </row>
    <row r="150" spans="1:11" s="109" customFormat="1">
      <c r="A150" s="46"/>
      <c r="B150" s="46"/>
      <c r="C150" s="46"/>
      <c r="D150" s="46"/>
      <c r="E150" s="46"/>
      <c r="F150" s="46"/>
      <c r="G150" s="46"/>
      <c r="H150" s="46"/>
      <c r="K150" s="46"/>
    </row>
    <row r="151" spans="1:11" s="109" customFormat="1">
      <c r="A151" s="46"/>
      <c r="B151" s="46"/>
      <c r="C151" s="46"/>
      <c r="D151" s="46"/>
      <c r="E151" s="46"/>
      <c r="F151" s="46"/>
      <c r="G151" s="46"/>
      <c r="H151" s="46"/>
      <c r="K151" s="46"/>
    </row>
    <row r="152" spans="1:11" s="109" customFormat="1">
      <c r="A152" s="46"/>
      <c r="B152" s="46"/>
      <c r="C152" s="46"/>
      <c r="D152" s="46"/>
      <c r="E152" s="46"/>
      <c r="F152" s="46"/>
      <c r="G152" s="46"/>
      <c r="H152" s="46"/>
      <c r="K152" s="46"/>
    </row>
    <row r="153" spans="1:11" s="109" customFormat="1">
      <c r="A153" s="46"/>
      <c r="B153" s="46"/>
      <c r="C153" s="46"/>
      <c r="D153" s="46"/>
      <c r="E153" s="46"/>
      <c r="F153" s="46"/>
      <c r="G153" s="46"/>
      <c r="H153" s="46"/>
      <c r="K153" s="46"/>
    </row>
    <row r="154" spans="1:11" s="109" customFormat="1">
      <c r="A154" s="46"/>
      <c r="B154" s="46"/>
      <c r="C154" s="46"/>
      <c r="D154" s="46"/>
      <c r="E154" s="46"/>
      <c r="F154" s="46"/>
      <c r="G154" s="46"/>
      <c r="H154" s="46"/>
      <c r="K154" s="46"/>
    </row>
    <row r="155" spans="1:11" s="109" customFormat="1">
      <c r="A155" s="46"/>
      <c r="B155" s="46"/>
      <c r="C155" s="46"/>
      <c r="D155" s="46"/>
      <c r="E155" s="46"/>
      <c r="F155" s="46"/>
      <c r="G155" s="46"/>
      <c r="H155" s="46"/>
      <c r="K155" s="46"/>
    </row>
    <row r="156" spans="1:11" s="109" customFormat="1">
      <c r="A156" s="46"/>
      <c r="B156" s="46"/>
      <c r="C156" s="46"/>
      <c r="D156" s="46"/>
      <c r="E156" s="46"/>
      <c r="F156" s="46"/>
      <c r="G156" s="46"/>
      <c r="H156" s="46"/>
      <c r="K156" s="46"/>
    </row>
    <row r="157" spans="1:11" s="109" customFormat="1">
      <c r="A157" s="46"/>
      <c r="B157" s="46"/>
      <c r="C157" s="46"/>
      <c r="D157" s="46"/>
      <c r="E157" s="46"/>
      <c r="F157" s="46"/>
      <c r="G157" s="46"/>
      <c r="H157" s="46"/>
      <c r="K157" s="46"/>
    </row>
    <row r="158" spans="1:11" s="109" customFormat="1">
      <c r="A158" s="46"/>
      <c r="B158" s="46"/>
      <c r="C158" s="46"/>
      <c r="D158" s="46"/>
      <c r="E158" s="46"/>
      <c r="F158" s="46"/>
      <c r="G158" s="46"/>
      <c r="H158" s="46"/>
      <c r="K158" s="46"/>
    </row>
    <row r="159" spans="1:11" s="109" customFormat="1">
      <c r="A159" s="46"/>
      <c r="B159" s="46"/>
      <c r="C159" s="46"/>
      <c r="D159" s="46"/>
      <c r="E159" s="46"/>
      <c r="F159" s="46"/>
      <c r="G159" s="46"/>
      <c r="H159" s="46"/>
      <c r="K159" s="46"/>
    </row>
    <row r="160" spans="1:11" s="109" customFormat="1">
      <c r="A160" s="46"/>
      <c r="B160" s="46"/>
      <c r="C160" s="46"/>
      <c r="D160" s="46"/>
      <c r="E160" s="46"/>
      <c r="F160" s="46"/>
      <c r="G160" s="46"/>
      <c r="H160" s="46"/>
      <c r="K160" s="46"/>
    </row>
    <row r="161" spans="1:11" s="109" customFormat="1">
      <c r="A161" s="46"/>
      <c r="B161" s="46"/>
      <c r="C161" s="46"/>
      <c r="D161" s="46"/>
      <c r="E161" s="46"/>
      <c r="F161" s="46"/>
      <c r="G161" s="46"/>
      <c r="H161" s="46"/>
      <c r="K161" s="46"/>
    </row>
    <row r="162" spans="1:11" s="109" customFormat="1">
      <c r="A162" s="46"/>
      <c r="B162" s="46"/>
      <c r="C162" s="46"/>
      <c r="D162" s="46"/>
      <c r="E162" s="46"/>
      <c r="F162" s="46"/>
      <c r="G162" s="46"/>
      <c r="H162" s="46"/>
      <c r="K162" s="46"/>
    </row>
    <row r="163" spans="1:11" s="109" customFormat="1">
      <c r="A163" s="46"/>
      <c r="B163" s="46"/>
      <c r="C163" s="46"/>
      <c r="D163" s="46"/>
      <c r="E163" s="46"/>
      <c r="F163" s="46"/>
      <c r="G163" s="46"/>
      <c r="H163" s="46"/>
      <c r="K163" s="46"/>
    </row>
    <row r="164" spans="1:11" s="109" customFormat="1">
      <c r="A164" s="46"/>
      <c r="B164" s="46"/>
      <c r="C164" s="46"/>
      <c r="D164" s="46"/>
      <c r="E164" s="46"/>
      <c r="F164" s="46"/>
      <c r="G164" s="46"/>
      <c r="H164" s="46"/>
      <c r="K164" s="46"/>
    </row>
    <row r="165" spans="1:11" s="109" customFormat="1">
      <c r="A165" s="46"/>
      <c r="B165" s="46"/>
      <c r="C165" s="46"/>
      <c r="D165" s="46"/>
      <c r="E165" s="46"/>
      <c r="F165" s="46"/>
      <c r="G165" s="46"/>
      <c r="H165" s="46"/>
      <c r="K165" s="46"/>
    </row>
    <row r="166" spans="1:11" s="109" customFormat="1">
      <c r="A166" s="46"/>
      <c r="B166" s="46"/>
      <c r="C166" s="46"/>
      <c r="D166" s="46"/>
      <c r="E166" s="46"/>
      <c r="F166" s="46"/>
      <c r="G166" s="46"/>
      <c r="H166" s="46"/>
      <c r="K166" s="46"/>
    </row>
    <row r="167" spans="1:11" s="109" customFormat="1">
      <c r="A167" s="46"/>
      <c r="B167" s="46"/>
      <c r="C167" s="46"/>
      <c r="D167" s="46"/>
      <c r="E167" s="46"/>
      <c r="F167" s="46"/>
      <c r="G167" s="46"/>
      <c r="H167" s="46"/>
      <c r="K167" s="46"/>
    </row>
    <row r="168" spans="1:11" s="109" customFormat="1">
      <c r="A168" s="46"/>
      <c r="B168" s="46"/>
      <c r="C168" s="46"/>
      <c r="D168" s="46"/>
      <c r="E168" s="46"/>
      <c r="F168" s="46"/>
      <c r="G168" s="46"/>
      <c r="H168" s="46"/>
      <c r="K168" s="46"/>
    </row>
    <row r="169" spans="1:11" s="109" customFormat="1">
      <c r="A169" s="46"/>
      <c r="B169" s="46"/>
      <c r="C169" s="46"/>
      <c r="D169" s="46"/>
      <c r="E169" s="46"/>
      <c r="F169" s="46"/>
      <c r="G169" s="46"/>
      <c r="H169" s="46"/>
      <c r="K169" s="46"/>
    </row>
    <row r="170" spans="1:11" s="109" customFormat="1">
      <c r="A170" s="46"/>
      <c r="B170" s="46"/>
      <c r="C170" s="46"/>
      <c r="D170" s="46"/>
      <c r="E170" s="46"/>
      <c r="F170" s="46"/>
      <c r="G170" s="46"/>
      <c r="H170" s="46"/>
      <c r="K170" s="46"/>
    </row>
    <row r="171" spans="1:11" s="109" customFormat="1">
      <c r="A171" s="46"/>
      <c r="B171" s="46"/>
      <c r="C171" s="46"/>
      <c r="D171" s="46"/>
      <c r="E171" s="46"/>
      <c r="F171" s="46"/>
      <c r="G171" s="46"/>
      <c r="H171" s="46"/>
      <c r="K171" s="46"/>
    </row>
    <row r="172" spans="1:11" s="109" customFormat="1">
      <c r="A172" s="46"/>
      <c r="B172" s="46"/>
      <c r="C172" s="46"/>
      <c r="D172" s="46"/>
      <c r="E172" s="46"/>
      <c r="F172" s="46"/>
      <c r="G172" s="46"/>
      <c r="H172" s="46"/>
      <c r="K172" s="46"/>
    </row>
    <row r="173" spans="1:11" s="109" customFormat="1">
      <c r="A173" s="46"/>
      <c r="B173" s="46"/>
      <c r="C173" s="46"/>
      <c r="D173" s="46"/>
      <c r="E173" s="46"/>
      <c r="F173" s="46"/>
      <c r="G173" s="46"/>
      <c r="H173" s="46"/>
      <c r="K173" s="46"/>
    </row>
    <row r="174" spans="1:11" s="109" customFormat="1">
      <c r="A174" s="46"/>
      <c r="B174" s="46"/>
      <c r="C174" s="46"/>
      <c r="D174" s="46"/>
      <c r="E174" s="46"/>
      <c r="F174" s="46"/>
      <c r="G174" s="46"/>
      <c r="H174" s="46"/>
      <c r="K174" s="46"/>
    </row>
    <row r="175" spans="1:11" s="109" customFormat="1">
      <c r="A175" s="46"/>
      <c r="B175" s="46"/>
      <c r="C175" s="46"/>
      <c r="D175" s="46"/>
      <c r="E175" s="46"/>
      <c r="F175" s="46"/>
      <c r="G175" s="46"/>
      <c r="H175" s="46"/>
      <c r="K175" s="46"/>
    </row>
    <row r="176" spans="1:11" s="109" customFormat="1">
      <c r="A176" s="46"/>
      <c r="B176" s="46"/>
      <c r="C176" s="46"/>
      <c r="D176" s="46"/>
      <c r="E176" s="46"/>
      <c r="F176" s="46"/>
      <c r="G176" s="46"/>
      <c r="H176" s="46"/>
      <c r="K176" s="46"/>
    </row>
    <row r="177" spans="1:11" s="109" customFormat="1">
      <c r="A177" s="46"/>
      <c r="B177" s="46"/>
      <c r="C177" s="46"/>
      <c r="D177" s="46"/>
      <c r="E177" s="46"/>
      <c r="F177" s="46"/>
      <c r="G177" s="46"/>
      <c r="H177" s="46"/>
      <c r="K177" s="46"/>
    </row>
    <row r="178" spans="1:11" s="109" customFormat="1">
      <c r="A178" s="46"/>
      <c r="B178" s="46"/>
      <c r="C178" s="46"/>
      <c r="D178" s="46"/>
      <c r="E178" s="46"/>
      <c r="F178" s="46"/>
      <c r="G178" s="46"/>
      <c r="H178" s="46"/>
      <c r="K178" s="46"/>
    </row>
    <row r="179" spans="1:11" s="109" customFormat="1">
      <c r="A179" s="46"/>
      <c r="B179" s="46"/>
      <c r="C179" s="46"/>
      <c r="D179" s="46"/>
      <c r="E179" s="46"/>
      <c r="F179" s="46"/>
      <c r="G179" s="46"/>
      <c r="H179" s="46"/>
      <c r="K179" s="46"/>
    </row>
    <row r="180" spans="1:11" s="109" customFormat="1">
      <c r="A180" s="46"/>
      <c r="B180" s="46"/>
      <c r="C180" s="46"/>
      <c r="D180" s="46"/>
      <c r="E180" s="46"/>
      <c r="F180" s="46"/>
      <c r="G180" s="46"/>
      <c r="H180" s="46"/>
      <c r="K180" s="46"/>
    </row>
    <row r="181" spans="1:11" s="109" customFormat="1">
      <c r="A181" s="46"/>
      <c r="B181" s="46"/>
      <c r="C181" s="46"/>
      <c r="D181" s="46"/>
      <c r="E181" s="46"/>
      <c r="F181" s="46"/>
      <c r="G181" s="46"/>
      <c r="H181" s="46"/>
      <c r="K181" s="46"/>
    </row>
    <row r="182" spans="1:11" s="109" customFormat="1">
      <c r="A182" s="46"/>
      <c r="B182" s="46"/>
      <c r="C182" s="46"/>
      <c r="D182" s="46"/>
      <c r="E182" s="46"/>
      <c r="F182" s="46"/>
      <c r="G182" s="46"/>
      <c r="H182" s="46"/>
      <c r="K182" s="46"/>
    </row>
    <row r="183" spans="1:11" s="109" customFormat="1">
      <c r="A183" s="46"/>
      <c r="B183" s="46"/>
      <c r="C183" s="46"/>
      <c r="D183" s="46"/>
      <c r="E183" s="46"/>
      <c r="F183" s="46"/>
      <c r="G183" s="46"/>
      <c r="H183" s="46"/>
      <c r="K183" s="46"/>
    </row>
    <row r="184" spans="1:11" s="109" customFormat="1">
      <c r="A184" s="46"/>
      <c r="B184" s="46"/>
      <c r="C184" s="46"/>
      <c r="D184" s="46"/>
      <c r="E184" s="46"/>
      <c r="F184" s="46"/>
      <c r="G184" s="46"/>
      <c r="H184" s="46"/>
      <c r="K184" s="46"/>
    </row>
    <row r="185" spans="1:11" s="109" customFormat="1">
      <c r="A185" s="46"/>
      <c r="B185" s="46"/>
      <c r="C185" s="46"/>
      <c r="D185" s="46"/>
      <c r="E185" s="46"/>
      <c r="F185" s="46"/>
      <c r="G185" s="46"/>
      <c r="H185" s="46"/>
      <c r="K185" s="46"/>
    </row>
    <row r="186" spans="1:11" s="109" customFormat="1">
      <c r="A186" s="46"/>
      <c r="B186" s="46"/>
      <c r="C186" s="46"/>
      <c r="D186" s="46"/>
      <c r="E186" s="46"/>
      <c r="F186" s="46"/>
      <c r="G186" s="46"/>
      <c r="H186" s="46"/>
      <c r="K186" s="46"/>
    </row>
    <row r="187" spans="1:11" s="109" customFormat="1">
      <c r="A187" s="46"/>
      <c r="B187" s="46"/>
      <c r="C187" s="46"/>
      <c r="D187" s="46"/>
      <c r="E187" s="46"/>
      <c r="F187" s="46"/>
      <c r="G187" s="46"/>
      <c r="H187" s="46"/>
      <c r="K187" s="46"/>
    </row>
    <row r="188" spans="1:11" s="109" customFormat="1">
      <c r="A188" s="46"/>
      <c r="B188" s="46"/>
      <c r="C188" s="46"/>
      <c r="D188" s="46"/>
      <c r="E188" s="46"/>
      <c r="F188" s="46"/>
      <c r="G188" s="46"/>
      <c r="H188" s="46"/>
      <c r="K188" s="46"/>
    </row>
    <row r="189" spans="1:11" s="109" customFormat="1">
      <c r="A189" s="46"/>
      <c r="B189" s="46"/>
      <c r="C189" s="46"/>
      <c r="D189" s="46"/>
      <c r="E189" s="46"/>
      <c r="F189" s="46"/>
      <c r="G189" s="46"/>
      <c r="H189" s="46"/>
      <c r="K189" s="46"/>
    </row>
    <row r="190" spans="1:11" s="109" customFormat="1">
      <c r="A190" s="46"/>
      <c r="B190" s="46"/>
      <c r="C190" s="46"/>
      <c r="D190" s="46"/>
      <c r="E190" s="46"/>
      <c r="F190" s="46"/>
      <c r="G190" s="46"/>
      <c r="H190" s="46"/>
      <c r="K190" s="46"/>
    </row>
    <row r="191" spans="1:11" s="109" customFormat="1">
      <c r="A191" s="46"/>
      <c r="B191" s="46"/>
      <c r="C191" s="46"/>
      <c r="D191" s="46"/>
      <c r="E191" s="46"/>
      <c r="F191" s="46"/>
      <c r="G191" s="46"/>
      <c r="H191" s="46"/>
      <c r="K191" s="46"/>
    </row>
    <row r="192" spans="1:11" s="109" customFormat="1">
      <c r="A192" s="46"/>
      <c r="B192" s="46"/>
      <c r="C192" s="46"/>
      <c r="D192" s="46"/>
      <c r="E192" s="46"/>
      <c r="F192" s="46"/>
      <c r="G192" s="46"/>
      <c r="H192" s="46"/>
      <c r="K192" s="46"/>
    </row>
    <row r="193" spans="1:11" s="109" customFormat="1">
      <c r="A193" s="46"/>
      <c r="B193" s="46"/>
      <c r="C193" s="46"/>
      <c r="D193" s="46"/>
      <c r="E193" s="46"/>
      <c r="F193" s="46"/>
      <c r="G193" s="46"/>
      <c r="H193" s="46"/>
      <c r="K193" s="46"/>
    </row>
    <row r="194" spans="1:11" s="109" customFormat="1">
      <c r="A194" s="46"/>
      <c r="B194" s="46"/>
      <c r="C194" s="46"/>
      <c r="D194" s="46"/>
      <c r="E194" s="46"/>
      <c r="F194" s="46"/>
      <c r="G194" s="46"/>
      <c r="H194" s="46"/>
      <c r="K194" s="46"/>
    </row>
    <row r="195" spans="1:11" s="109" customFormat="1">
      <c r="A195" s="46"/>
      <c r="B195" s="46"/>
      <c r="C195" s="46"/>
      <c r="D195" s="46"/>
      <c r="E195" s="46"/>
      <c r="F195" s="46"/>
      <c r="G195" s="46"/>
      <c r="H195" s="46"/>
      <c r="K195" s="46"/>
    </row>
    <row r="196" spans="1:11" s="109" customFormat="1">
      <c r="A196" s="46"/>
      <c r="B196" s="46"/>
      <c r="C196" s="46"/>
      <c r="D196" s="46"/>
      <c r="E196" s="46"/>
      <c r="F196" s="46"/>
      <c r="G196" s="46"/>
      <c r="H196" s="46"/>
      <c r="K196" s="46"/>
    </row>
    <row r="197" spans="1:11" s="109" customFormat="1">
      <c r="A197" s="46"/>
      <c r="B197" s="46"/>
      <c r="C197" s="46"/>
      <c r="D197" s="46"/>
      <c r="E197" s="46"/>
      <c r="F197" s="46"/>
      <c r="G197" s="46"/>
      <c r="H197" s="46"/>
      <c r="K197" s="46"/>
    </row>
    <row r="198" spans="1:11" s="109" customFormat="1">
      <c r="A198" s="46"/>
      <c r="B198" s="46"/>
      <c r="C198" s="46"/>
      <c r="D198" s="46"/>
      <c r="E198" s="46"/>
      <c r="F198" s="46"/>
      <c r="G198" s="46"/>
      <c r="H198" s="46"/>
      <c r="K198" s="46"/>
    </row>
    <row r="199" spans="1:11" s="109" customFormat="1">
      <c r="A199" s="46"/>
      <c r="B199" s="46"/>
      <c r="C199" s="46"/>
      <c r="D199" s="46"/>
      <c r="E199" s="46"/>
      <c r="F199" s="46"/>
      <c r="G199" s="46"/>
      <c r="H199" s="46"/>
      <c r="K199" s="46"/>
    </row>
    <row r="200" spans="1:11" s="109" customFormat="1">
      <c r="A200" s="46"/>
      <c r="B200" s="46"/>
      <c r="C200" s="46"/>
      <c r="D200" s="46"/>
      <c r="E200" s="46"/>
      <c r="F200" s="46"/>
      <c r="G200" s="46"/>
      <c r="H200" s="46"/>
      <c r="K200" s="46"/>
    </row>
    <row r="201" spans="1:11" s="109" customFormat="1">
      <c r="A201" s="46"/>
      <c r="B201" s="46"/>
      <c r="C201" s="46"/>
      <c r="D201" s="46"/>
      <c r="E201" s="46"/>
      <c r="F201" s="46"/>
      <c r="G201" s="46"/>
      <c r="H201" s="46"/>
      <c r="K201" s="46"/>
    </row>
    <row r="202" spans="1:11" s="109" customFormat="1">
      <c r="A202" s="46"/>
      <c r="B202" s="46"/>
      <c r="C202" s="46"/>
      <c r="D202" s="46"/>
      <c r="E202" s="46"/>
      <c r="F202" s="46"/>
      <c r="G202" s="46"/>
      <c r="H202" s="46"/>
      <c r="K202" s="46"/>
    </row>
    <row r="203" spans="1:11" s="109" customFormat="1">
      <c r="A203" s="46"/>
      <c r="B203" s="46"/>
      <c r="C203" s="46"/>
      <c r="D203" s="46"/>
      <c r="E203" s="46"/>
      <c r="F203" s="46"/>
      <c r="G203" s="46"/>
      <c r="H203" s="46"/>
      <c r="K203" s="46"/>
    </row>
    <row r="204" spans="1:11" s="109" customFormat="1">
      <c r="A204" s="46"/>
      <c r="B204" s="46"/>
      <c r="C204" s="46"/>
      <c r="D204" s="46"/>
      <c r="E204" s="46"/>
      <c r="F204" s="46"/>
      <c r="G204" s="46"/>
      <c r="H204" s="46"/>
      <c r="K204" s="46"/>
    </row>
    <row r="205" spans="1:11" s="109" customFormat="1">
      <c r="A205" s="46"/>
      <c r="B205" s="46"/>
      <c r="C205" s="46"/>
      <c r="D205" s="46"/>
      <c r="E205" s="46"/>
      <c r="F205" s="46"/>
      <c r="G205" s="46"/>
      <c r="H205" s="46"/>
      <c r="K205" s="46"/>
    </row>
    <row r="206" spans="1:11" s="109" customFormat="1">
      <c r="A206" s="46"/>
      <c r="B206" s="46"/>
      <c r="C206" s="46"/>
      <c r="D206" s="46"/>
      <c r="E206" s="46"/>
      <c r="F206" s="46"/>
      <c r="G206" s="46"/>
      <c r="H206" s="46"/>
      <c r="K206" s="46"/>
    </row>
    <row r="207" spans="1:11" s="109" customFormat="1">
      <c r="A207" s="46"/>
      <c r="B207" s="46"/>
      <c r="C207" s="46"/>
      <c r="D207" s="46"/>
      <c r="E207" s="46"/>
      <c r="F207" s="46"/>
      <c r="G207" s="46"/>
      <c r="H207" s="46"/>
      <c r="K207" s="46"/>
    </row>
    <row r="208" spans="1:11" s="109" customFormat="1">
      <c r="A208" s="46"/>
      <c r="B208" s="46"/>
      <c r="C208" s="46"/>
      <c r="D208" s="46"/>
      <c r="E208" s="46"/>
      <c r="F208" s="46"/>
      <c r="G208" s="46"/>
      <c r="H208" s="46"/>
      <c r="K208" s="46"/>
    </row>
    <row r="209" spans="1:11" s="109" customFormat="1">
      <c r="A209" s="46"/>
      <c r="B209" s="46"/>
      <c r="C209" s="46"/>
      <c r="D209" s="46"/>
      <c r="E209" s="46"/>
      <c r="F209" s="46"/>
      <c r="G209" s="46"/>
      <c r="H209" s="46"/>
      <c r="K209" s="46"/>
    </row>
    <row r="210" spans="1:11" s="109" customFormat="1">
      <c r="A210" s="46"/>
      <c r="B210" s="46"/>
      <c r="C210" s="46"/>
      <c r="D210" s="46"/>
      <c r="E210" s="46"/>
      <c r="F210" s="46"/>
      <c r="G210" s="46"/>
      <c r="H210" s="46"/>
      <c r="K210" s="46"/>
    </row>
    <row r="211" spans="1:11" s="109" customFormat="1">
      <c r="A211" s="46"/>
      <c r="B211" s="46"/>
      <c r="C211" s="46"/>
      <c r="D211" s="46"/>
      <c r="E211" s="46"/>
      <c r="F211" s="46"/>
      <c r="G211" s="46"/>
      <c r="H211" s="46"/>
      <c r="K211" s="46"/>
    </row>
    <row r="212" spans="1:11" s="109" customFormat="1">
      <c r="A212" s="46"/>
      <c r="B212" s="46"/>
      <c r="C212" s="46"/>
      <c r="D212" s="46"/>
      <c r="E212" s="46"/>
      <c r="F212" s="46"/>
      <c r="G212" s="46"/>
      <c r="H212" s="46"/>
      <c r="K212" s="46"/>
    </row>
    <row r="213" spans="1:11" s="109" customFormat="1">
      <c r="A213" s="46"/>
      <c r="B213" s="46"/>
      <c r="C213" s="46"/>
      <c r="D213" s="46"/>
      <c r="E213" s="46"/>
      <c r="F213" s="46"/>
      <c r="G213" s="46"/>
      <c r="H213" s="46"/>
      <c r="K213" s="46"/>
    </row>
    <row r="214" spans="1:11" s="109" customFormat="1">
      <c r="A214" s="46"/>
      <c r="B214" s="46"/>
      <c r="C214" s="46"/>
      <c r="D214" s="46"/>
      <c r="E214" s="46"/>
      <c r="F214" s="46"/>
      <c r="G214" s="46"/>
      <c r="H214" s="46"/>
      <c r="K214" s="46"/>
    </row>
    <row r="215" spans="1:11" s="109" customFormat="1">
      <c r="A215" s="46"/>
      <c r="B215" s="46"/>
      <c r="C215" s="46"/>
      <c r="D215" s="46"/>
      <c r="E215" s="46"/>
      <c r="F215" s="46"/>
      <c r="G215" s="46"/>
      <c r="H215" s="46"/>
      <c r="K215" s="46"/>
    </row>
    <row r="216" spans="1:11" s="109" customFormat="1">
      <c r="A216" s="46"/>
      <c r="B216" s="46"/>
      <c r="C216" s="46"/>
      <c r="D216" s="46"/>
      <c r="E216" s="46"/>
      <c r="F216" s="46"/>
      <c r="G216" s="46"/>
      <c r="H216" s="46"/>
      <c r="K216" s="46"/>
    </row>
    <row r="217" spans="1:11" s="109" customFormat="1">
      <c r="A217" s="46"/>
      <c r="B217" s="46"/>
      <c r="C217" s="46"/>
      <c r="D217" s="46"/>
      <c r="E217" s="46"/>
      <c r="F217" s="46"/>
      <c r="G217" s="46"/>
      <c r="H217" s="46"/>
      <c r="K217" s="46"/>
    </row>
    <row r="218" spans="1:11" s="109" customFormat="1">
      <c r="A218" s="46"/>
      <c r="B218" s="46"/>
      <c r="C218" s="46"/>
      <c r="D218" s="46"/>
      <c r="E218" s="46"/>
      <c r="F218" s="46"/>
      <c r="G218" s="46"/>
      <c r="H218" s="46"/>
      <c r="K218" s="46"/>
    </row>
    <row r="219" spans="1:11" s="109" customFormat="1">
      <c r="A219" s="46"/>
      <c r="B219" s="46"/>
      <c r="C219" s="46"/>
      <c r="D219" s="46"/>
      <c r="E219" s="46"/>
      <c r="F219" s="46"/>
      <c r="G219" s="46"/>
      <c r="H219" s="46"/>
      <c r="K219" s="46"/>
    </row>
    <row r="220" spans="1:11" s="109" customFormat="1">
      <c r="A220" s="46"/>
      <c r="B220" s="46"/>
      <c r="C220" s="46"/>
      <c r="D220" s="46"/>
      <c r="E220" s="46"/>
      <c r="F220" s="46"/>
      <c r="G220" s="46"/>
      <c r="H220" s="46"/>
      <c r="K220" s="46"/>
    </row>
    <row r="221" spans="1:11" s="109" customFormat="1">
      <c r="A221" s="46"/>
      <c r="B221" s="46"/>
      <c r="C221" s="46"/>
      <c r="D221" s="46"/>
      <c r="E221" s="46"/>
      <c r="F221" s="46"/>
      <c r="G221" s="46"/>
      <c r="H221" s="46"/>
      <c r="K221" s="46"/>
    </row>
    <row r="222" spans="1:11" s="109" customFormat="1">
      <c r="A222" s="46"/>
      <c r="B222" s="46"/>
      <c r="C222" s="46"/>
      <c r="D222" s="46"/>
      <c r="E222" s="46"/>
      <c r="F222" s="46"/>
      <c r="G222" s="46"/>
      <c r="H222" s="46"/>
      <c r="K222" s="46"/>
    </row>
    <row r="223" spans="1:11" s="109" customFormat="1">
      <c r="A223" s="46"/>
      <c r="B223" s="46"/>
      <c r="C223" s="46"/>
      <c r="D223" s="46"/>
      <c r="E223" s="46"/>
      <c r="F223" s="46"/>
      <c r="G223" s="46"/>
      <c r="H223" s="46"/>
      <c r="K223" s="46"/>
    </row>
    <row r="224" spans="1:11" s="109" customFormat="1">
      <c r="A224" s="46"/>
      <c r="B224" s="46"/>
      <c r="C224" s="46"/>
      <c r="D224" s="46"/>
      <c r="E224" s="46"/>
      <c r="F224" s="46"/>
      <c r="G224" s="46"/>
      <c r="H224" s="46"/>
      <c r="K224" s="46"/>
    </row>
    <row r="225" spans="1:11" s="109" customFormat="1">
      <c r="A225" s="46"/>
      <c r="B225" s="46"/>
      <c r="C225" s="46"/>
      <c r="D225" s="46"/>
      <c r="E225" s="46"/>
      <c r="F225" s="46"/>
      <c r="G225" s="46"/>
      <c r="H225" s="46"/>
      <c r="K225" s="46"/>
    </row>
    <row r="226" spans="1:11" s="109" customFormat="1">
      <c r="A226" s="46"/>
      <c r="B226" s="46"/>
      <c r="C226" s="46"/>
      <c r="D226" s="46"/>
      <c r="E226" s="46"/>
      <c r="F226" s="46"/>
      <c r="G226" s="46"/>
      <c r="H226" s="46"/>
      <c r="K226" s="46"/>
    </row>
    <row r="227" spans="1:11" s="109" customFormat="1">
      <c r="A227" s="46"/>
      <c r="B227" s="46"/>
      <c r="C227" s="46"/>
      <c r="D227" s="46"/>
      <c r="E227" s="46"/>
      <c r="F227" s="46"/>
      <c r="G227" s="46"/>
      <c r="H227" s="46"/>
      <c r="K227" s="46"/>
    </row>
    <row r="228" spans="1:11" s="109" customFormat="1">
      <c r="A228" s="46"/>
      <c r="B228" s="46"/>
      <c r="C228" s="46"/>
      <c r="D228" s="46"/>
      <c r="E228" s="46"/>
      <c r="F228" s="46"/>
      <c r="G228" s="46"/>
      <c r="H228" s="46"/>
      <c r="K228" s="46"/>
    </row>
    <row r="229" spans="1:11" s="109" customFormat="1">
      <c r="A229" s="46"/>
      <c r="B229" s="46"/>
      <c r="C229" s="46"/>
      <c r="D229" s="46"/>
      <c r="E229" s="46"/>
      <c r="F229" s="46"/>
      <c r="G229" s="46"/>
      <c r="H229" s="46"/>
      <c r="K229" s="46"/>
    </row>
    <row r="230" spans="1:11" s="109" customFormat="1">
      <c r="A230" s="46"/>
      <c r="B230" s="46"/>
      <c r="C230" s="46"/>
      <c r="D230" s="46"/>
      <c r="E230" s="46"/>
      <c r="F230" s="46"/>
      <c r="G230" s="46"/>
      <c r="H230" s="46"/>
      <c r="K230" s="46"/>
    </row>
    <row r="231" spans="1:11" s="109" customFormat="1">
      <c r="A231" s="46"/>
      <c r="B231" s="46"/>
      <c r="C231" s="46"/>
      <c r="D231" s="46"/>
      <c r="E231" s="46"/>
      <c r="F231" s="46"/>
      <c r="G231" s="46"/>
      <c r="H231" s="46"/>
      <c r="K231" s="46"/>
    </row>
    <row r="232" spans="1:11" s="109" customFormat="1">
      <c r="A232" s="46"/>
      <c r="B232" s="46"/>
      <c r="C232" s="46"/>
      <c r="D232" s="46"/>
      <c r="E232" s="46"/>
      <c r="F232" s="46"/>
      <c r="G232" s="46"/>
      <c r="H232" s="46"/>
      <c r="K232" s="46"/>
    </row>
  </sheetData>
  <mergeCells count="3">
    <mergeCell ref="A2:J2"/>
    <mergeCell ref="A3:J3"/>
    <mergeCell ref="A4:J4"/>
  </mergeCells>
  <pageMargins left="0.27" right="0.15" top="0.39" bottom="0.1" header="0.21" footer="0.1"/>
  <pageSetup scale="90" orientation="portrait" horizontalDpi="300" verticalDpi="300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92D050"/>
  </sheetPr>
  <dimension ref="A1:J51"/>
  <sheetViews>
    <sheetView workbookViewId="0">
      <selection activeCell="D29" sqref="D29"/>
    </sheetView>
  </sheetViews>
  <sheetFormatPr defaultRowHeight="12"/>
  <cols>
    <col min="1" max="1" width="18.42578125" style="1" customWidth="1"/>
    <col min="2" max="2" width="31.7109375" style="1" customWidth="1"/>
    <col min="3" max="3" width="13.7109375" style="1" customWidth="1"/>
    <col min="4" max="4" width="10.5703125" style="1" customWidth="1"/>
    <col min="5" max="5" width="11.7109375" style="1" customWidth="1"/>
    <col min="6" max="6" width="16.7109375" style="1" customWidth="1"/>
    <col min="7" max="7" width="11.5703125" style="1" customWidth="1"/>
    <col min="8" max="9" width="13" style="1" customWidth="1"/>
    <col min="10" max="10" width="13.7109375" style="1" customWidth="1"/>
    <col min="11" max="16384" width="9.140625" style="1"/>
  </cols>
  <sheetData>
    <row r="1" spans="1:10">
      <c r="A1" s="409"/>
      <c r="B1" s="409"/>
      <c r="C1" s="409"/>
      <c r="D1" s="409"/>
      <c r="E1" s="409"/>
      <c r="F1" s="409"/>
      <c r="G1" s="409"/>
      <c r="H1" s="409"/>
      <c r="I1" s="409"/>
      <c r="J1" s="409"/>
    </row>
    <row r="2" spans="1:10">
      <c r="A2" s="409" t="s">
        <v>105</v>
      </c>
      <c r="B2" s="409"/>
      <c r="C2" s="409"/>
      <c r="D2" s="409"/>
      <c r="E2" s="409"/>
      <c r="F2" s="409"/>
      <c r="G2" s="409"/>
      <c r="H2" s="409"/>
      <c r="I2" s="409"/>
      <c r="J2" s="409"/>
    </row>
    <row r="3" spans="1:10">
      <c r="A3" s="409" t="s">
        <v>106</v>
      </c>
      <c r="B3" s="409"/>
      <c r="C3" s="409"/>
      <c r="D3" s="409"/>
      <c r="E3" s="409"/>
      <c r="F3" s="409"/>
      <c r="G3" s="409"/>
      <c r="H3" s="409"/>
      <c r="I3" s="409"/>
      <c r="J3" s="409"/>
    </row>
    <row r="4" spans="1:10">
      <c r="A4" s="123"/>
      <c r="B4" s="123"/>
      <c r="C4" s="123"/>
      <c r="D4" s="123"/>
      <c r="E4" s="123"/>
      <c r="F4" s="123"/>
      <c r="G4" s="123"/>
      <c r="H4" s="123"/>
      <c r="I4" s="123"/>
      <c r="J4" s="123"/>
    </row>
    <row r="5" spans="1:10">
      <c r="A5" s="124" t="s">
        <v>159</v>
      </c>
      <c r="B5" s="124"/>
      <c r="C5" s="124"/>
      <c r="D5" s="124"/>
      <c r="E5" s="124"/>
      <c r="F5" s="124"/>
      <c r="G5" s="124"/>
      <c r="H5" s="124"/>
      <c r="I5" s="124"/>
      <c r="J5" s="124"/>
    </row>
    <row r="6" spans="1:10">
      <c r="A6" s="124"/>
      <c r="B6" s="124"/>
      <c r="C6" s="124"/>
      <c r="D6" s="124"/>
      <c r="E6" s="124"/>
      <c r="F6" s="124"/>
      <c r="G6" s="124"/>
      <c r="H6" s="124"/>
      <c r="I6" s="124"/>
      <c r="J6" s="124"/>
    </row>
    <row r="7" spans="1:10" ht="12.75">
      <c r="A7" s="2"/>
      <c r="B7" s="134"/>
      <c r="C7" s="136"/>
      <c r="D7" s="411" t="s">
        <v>120</v>
      </c>
      <c r="E7" s="412"/>
      <c r="F7" s="6"/>
      <c r="G7" s="7"/>
      <c r="H7" s="414" t="s">
        <v>127</v>
      </c>
      <c r="I7" s="415"/>
      <c r="J7" s="416"/>
    </row>
    <row r="8" spans="1:10" ht="12.75">
      <c r="A8" s="57" t="s">
        <v>107</v>
      </c>
      <c r="B8" s="135" t="s">
        <v>110</v>
      </c>
      <c r="C8" s="135" t="s">
        <v>118</v>
      </c>
      <c r="D8" s="11"/>
      <c r="E8" s="11" t="s">
        <v>122</v>
      </c>
      <c r="F8" s="13" t="s">
        <v>124</v>
      </c>
      <c r="G8" s="11" t="s">
        <v>126</v>
      </c>
      <c r="H8" s="11"/>
      <c r="I8" s="11"/>
      <c r="J8" s="11"/>
    </row>
    <row r="9" spans="1:10" ht="12.75">
      <c r="A9" s="57" t="s">
        <v>108</v>
      </c>
      <c r="B9" s="135" t="s">
        <v>111</v>
      </c>
      <c r="C9" s="135" t="s">
        <v>119</v>
      </c>
      <c r="D9" s="11" t="s">
        <v>121</v>
      </c>
      <c r="E9" s="11" t="s">
        <v>123</v>
      </c>
      <c r="F9" s="13" t="s">
        <v>125</v>
      </c>
      <c r="G9" s="11" t="s">
        <v>38</v>
      </c>
      <c r="H9" s="15" t="s">
        <v>87</v>
      </c>
      <c r="I9" s="15" t="s">
        <v>88</v>
      </c>
      <c r="J9" s="11" t="s">
        <v>24</v>
      </c>
    </row>
    <row r="10" spans="1:10">
      <c r="A10" s="125" t="s">
        <v>109</v>
      </c>
      <c r="B10" s="125" t="s">
        <v>128</v>
      </c>
      <c r="C10" s="125" t="s">
        <v>129</v>
      </c>
      <c r="D10" s="125" t="s">
        <v>130</v>
      </c>
      <c r="E10" s="125" t="s">
        <v>131</v>
      </c>
      <c r="F10" s="125" t="s">
        <v>131</v>
      </c>
      <c r="G10" s="125" t="s">
        <v>132</v>
      </c>
      <c r="H10" s="125" t="s">
        <v>133</v>
      </c>
      <c r="I10" s="125" t="s">
        <v>134</v>
      </c>
      <c r="J10" s="126" t="s">
        <v>135</v>
      </c>
    </row>
    <row r="11" spans="1:10">
      <c r="A11" s="145" t="s">
        <v>112</v>
      </c>
      <c r="B11" s="131" t="s">
        <v>114</v>
      </c>
      <c r="C11" s="9"/>
      <c r="D11" s="137"/>
      <c r="E11" s="137"/>
      <c r="F11" s="137"/>
      <c r="G11" s="9"/>
      <c r="H11" s="9"/>
      <c r="I11" s="9"/>
      <c r="J11" s="29"/>
    </row>
    <row r="12" spans="1:10">
      <c r="A12" s="146" t="s">
        <v>113</v>
      </c>
      <c r="B12" s="131" t="s">
        <v>115</v>
      </c>
      <c r="C12" s="9"/>
      <c r="D12" s="137"/>
      <c r="E12" s="137"/>
      <c r="F12" s="137"/>
      <c r="G12" s="9"/>
      <c r="H12" s="154"/>
      <c r="I12" s="154"/>
      <c r="J12" s="156"/>
    </row>
    <row r="13" spans="1:10" ht="12.75">
      <c r="A13" s="34"/>
      <c r="B13" s="132" t="s">
        <v>116</v>
      </c>
      <c r="C13" s="151" t="s">
        <v>117</v>
      </c>
      <c r="D13" s="152"/>
      <c r="E13" s="152"/>
      <c r="F13" s="152"/>
      <c r="G13" s="151" t="s">
        <v>8</v>
      </c>
      <c r="H13" s="153"/>
      <c r="I13" s="153"/>
      <c r="J13" s="157"/>
    </row>
    <row r="14" spans="1:10" ht="12.75">
      <c r="A14" s="31"/>
      <c r="B14" s="131" t="s">
        <v>136</v>
      </c>
      <c r="C14" s="9"/>
      <c r="D14" s="91"/>
      <c r="E14" s="91"/>
      <c r="F14" s="91"/>
      <c r="G14" s="9"/>
      <c r="H14" s="154"/>
      <c r="I14" s="154"/>
      <c r="J14" s="156"/>
    </row>
    <row r="15" spans="1:10" ht="12.75">
      <c r="A15" s="34"/>
      <c r="B15" s="131" t="s">
        <v>137</v>
      </c>
      <c r="C15" s="17"/>
      <c r="D15" s="93"/>
      <c r="E15" s="93"/>
      <c r="F15" s="93"/>
      <c r="G15" s="17"/>
      <c r="H15" s="153">
        <v>9787351.0800000001</v>
      </c>
      <c r="I15" s="153">
        <v>0</v>
      </c>
      <c r="J15" s="157">
        <f>SUM(H15:I15)</f>
        <v>9787351.0800000001</v>
      </c>
    </row>
    <row r="16" spans="1:10" ht="15" customHeight="1">
      <c r="A16" s="147" t="s">
        <v>138</v>
      </c>
      <c r="B16" s="168" t="s">
        <v>154</v>
      </c>
      <c r="C16" s="417"/>
      <c r="D16" s="419"/>
      <c r="E16" s="419"/>
      <c r="F16" s="419"/>
      <c r="G16" s="421"/>
      <c r="H16" s="159"/>
      <c r="I16" s="162"/>
      <c r="J16" s="159"/>
    </row>
    <row r="17" spans="1:10">
      <c r="A17" s="127" t="s">
        <v>160</v>
      </c>
      <c r="B17" s="165" t="s">
        <v>161</v>
      </c>
      <c r="C17" s="418"/>
      <c r="D17" s="420"/>
      <c r="E17" s="420"/>
      <c r="F17" s="420"/>
      <c r="G17" s="422"/>
      <c r="H17" s="160">
        <v>1000000</v>
      </c>
      <c r="I17" s="161">
        <v>700000</v>
      </c>
      <c r="J17" s="157">
        <f>SUM(H17:I17)</f>
        <v>1700000</v>
      </c>
    </row>
    <row r="18" spans="1:10" ht="15" customHeight="1">
      <c r="A18" s="145" t="s">
        <v>139</v>
      </c>
      <c r="B18" s="131" t="s">
        <v>157</v>
      </c>
      <c r="C18" s="9"/>
      <c r="D18" s="91"/>
      <c r="E18" s="91"/>
      <c r="F18" s="91"/>
      <c r="G18" s="9"/>
      <c r="H18" s="154"/>
      <c r="I18" s="154"/>
      <c r="J18" s="156"/>
    </row>
    <row r="19" spans="1:10" ht="15" customHeight="1">
      <c r="A19" s="34"/>
      <c r="B19" s="132" t="s">
        <v>158</v>
      </c>
      <c r="C19" s="17"/>
      <c r="D19" s="138"/>
      <c r="E19" s="138"/>
      <c r="F19" s="138"/>
      <c r="G19" s="17"/>
      <c r="H19" s="153">
        <v>1200000</v>
      </c>
      <c r="I19" s="153"/>
      <c r="J19" s="157">
        <f>SUM(H19:I19)</f>
        <v>1200000</v>
      </c>
    </row>
    <row r="20" spans="1:10" ht="15" customHeight="1">
      <c r="A20" s="148"/>
      <c r="B20" s="131" t="s">
        <v>140</v>
      </c>
      <c r="C20" s="9"/>
      <c r="D20" s="137"/>
      <c r="E20" s="137"/>
      <c r="F20" s="137"/>
      <c r="G20" s="9"/>
      <c r="H20" s="154"/>
      <c r="I20" s="154"/>
      <c r="J20" s="156"/>
    </row>
    <row r="21" spans="1:10" ht="15" customHeight="1">
      <c r="A21" s="33"/>
      <c r="B21" s="132" t="s">
        <v>141</v>
      </c>
      <c r="C21" s="17"/>
      <c r="D21" s="138"/>
      <c r="E21" s="138"/>
      <c r="F21" s="138"/>
      <c r="G21" s="17"/>
      <c r="H21" s="153"/>
      <c r="I21" s="153">
        <v>6500000</v>
      </c>
      <c r="J21" s="157">
        <f>SUM(H21:I21)</f>
        <v>6500000</v>
      </c>
    </row>
    <row r="22" spans="1:10" ht="15" customHeight="1">
      <c r="A22" s="149" t="s">
        <v>147</v>
      </c>
      <c r="B22" s="132" t="s">
        <v>142</v>
      </c>
      <c r="C22" s="17"/>
      <c r="D22" s="138"/>
      <c r="E22" s="138"/>
      <c r="F22" s="138"/>
      <c r="G22" s="17"/>
      <c r="H22" s="153"/>
      <c r="I22" s="153"/>
      <c r="J22" s="158"/>
    </row>
    <row r="23" spans="1:10" ht="15" customHeight="1">
      <c r="A23" s="145" t="s">
        <v>143</v>
      </c>
      <c r="B23" s="131" t="s">
        <v>155</v>
      </c>
      <c r="C23" s="9"/>
      <c r="D23" s="137"/>
      <c r="E23" s="137"/>
      <c r="F23" s="137"/>
      <c r="G23" s="9"/>
      <c r="H23" s="154"/>
      <c r="I23" s="154">
        <v>2200000</v>
      </c>
      <c r="J23" s="164">
        <f>SUM(H23:I23)</f>
        <v>2200000</v>
      </c>
    </row>
    <row r="24" spans="1:10" ht="15" customHeight="1">
      <c r="A24" s="145" t="s">
        <v>144</v>
      </c>
      <c r="B24" s="131" t="s">
        <v>156</v>
      </c>
      <c r="C24" s="9"/>
      <c r="D24" s="137"/>
      <c r="E24" s="137"/>
      <c r="F24" s="137"/>
      <c r="G24" s="9"/>
      <c r="H24" s="154">
        <v>150000</v>
      </c>
      <c r="I24" s="154"/>
      <c r="J24" s="156">
        <f>SUM(H24:I24)</f>
        <v>150000</v>
      </c>
    </row>
    <row r="25" spans="1:10" ht="15" customHeight="1">
      <c r="A25" s="150"/>
      <c r="B25" s="132" t="s">
        <v>146</v>
      </c>
      <c r="C25" s="17"/>
      <c r="D25" s="138"/>
      <c r="E25" s="138"/>
      <c r="F25" s="138"/>
      <c r="G25" s="17"/>
      <c r="H25" s="153"/>
      <c r="I25" s="153"/>
      <c r="J25" s="157"/>
    </row>
    <row r="26" spans="1:10" ht="15" customHeight="1">
      <c r="A26" s="23"/>
      <c r="B26" s="133" t="s">
        <v>145</v>
      </c>
      <c r="C26" s="28"/>
      <c r="D26" s="139"/>
      <c r="E26" s="139"/>
      <c r="F26" s="139"/>
      <c r="G26" s="28"/>
      <c r="H26" s="155">
        <v>9230293.3200000003</v>
      </c>
      <c r="I26" s="158"/>
      <c r="J26" s="158">
        <f>SUM(H26:I26)</f>
        <v>9230293.3200000003</v>
      </c>
    </row>
    <row r="27" spans="1:10" ht="14.25" customHeight="1">
      <c r="A27" s="40" t="s">
        <v>148</v>
      </c>
      <c r="B27" s="130"/>
      <c r="C27" s="10"/>
      <c r="D27" s="128"/>
      <c r="E27" s="128"/>
      <c r="F27" s="128"/>
      <c r="G27" s="10"/>
      <c r="H27" s="10"/>
      <c r="I27" s="10"/>
      <c r="J27" s="10"/>
    </row>
    <row r="28" spans="1:10">
      <c r="A28" s="129"/>
      <c r="B28" s="10"/>
      <c r="C28" s="10"/>
      <c r="D28" s="128"/>
      <c r="E28" s="128"/>
      <c r="F28" s="128"/>
      <c r="G28" s="10"/>
      <c r="H28" s="10"/>
      <c r="I28" s="10"/>
      <c r="J28" s="10"/>
    </row>
    <row r="29" spans="1:10">
      <c r="A29" s="129"/>
      <c r="B29" s="10"/>
      <c r="C29" s="10"/>
      <c r="D29" s="128"/>
      <c r="E29" s="128"/>
      <c r="F29" s="128"/>
      <c r="G29" s="10"/>
      <c r="H29" s="10"/>
      <c r="I29" s="10"/>
      <c r="J29" s="10"/>
    </row>
    <row r="30" spans="1:10">
      <c r="A30" s="40"/>
      <c r="B30" s="10"/>
      <c r="C30" s="10"/>
      <c r="D30" s="128"/>
      <c r="E30" s="128"/>
      <c r="F30" s="128"/>
      <c r="G30" s="10"/>
      <c r="H30" s="10"/>
      <c r="I30" s="10"/>
      <c r="J30" s="10"/>
    </row>
    <row r="31" spans="1:10" ht="12.75">
      <c r="B31" s="140" t="s">
        <v>83</v>
      </c>
      <c r="C31" s="55"/>
      <c r="D31" s="92"/>
      <c r="E31" s="92"/>
      <c r="F31" s="92"/>
      <c r="G31" s="55" t="s">
        <v>151</v>
      </c>
      <c r="H31" s="55"/>
      <c r="I31" s="55"/>
      <c r="J31" s="10"/>
    </row>
    <row r="32" spans="1:10" ht="12.75">
      <c r="A32" s="85"/>
      <c r="B32" s="55"/>
      <c r="C32" s="55"/>
      <c r="D32" s="92"/>
      <c r="E32" s="92"/>
      <c r="F32" s="92"/>
      <c r="G32" s="55"/>
      <c r="H32" s="55"/>
      <c r="I32" s="55"/>
      <c r="J32" s="10"/>
    </row>
    <row r="33" spans="1:10" ht="12.75">
      <c r="A33" s="85"/>
      <c r="B33" s="55"/>
      <c r="C33" s="55"/>
      <c r="D33" s="92"/>
      <c r="E33" s="92"/>
      <c r="F33" s="92"/>
      <c r="G33" s="55"/>
      <c r="H33" s="55"/>
      <c r="I33" s="55"/>
      <c r="J33" s="10"/>
    </row>
    <row r="34" spans="1:10" ht="12.75">
      <c r="B34" s="143" t="s">
        <v>149</v>
      </c>
      <c r="C34" s="55"/>
      <c r="D34" s="92"/>
      <c r="E34" s="92"/>
      <c r="F34" s="92"/>
      <c r="G34" s="82" t="s">
        <v>152</v>
      </c>
      <c r="H34" s="55"/>
      <c r="I34" s="55"/>
      <c r="J34" s="10"/>
    </row>
    <row r="35" spans="1:10" ht="12.75">
      <c r="B35" s="144" t="s">
        <v>150</v>
      </c>
      <c r="C35" s="55"/>
      <c r="D35" s="92"/>
      <c r="E35" s="92"/>
      <c r="F35" s="92"/>
      <c r="G35" s="55" t="s">
        <v>153</v>
      </c>
      <c r="H35" s="55"/>
      <c r="I35" s="55"/>
      <c r="J35" s="10"/>
    </row>
    <row r="36" spans="1:10" ht="12.75">
      <c r="A36" s="142"/>
      <c r="B36" s="55"/>
      <c r="C36" s="55"/>
      <c r="D36" s="92"/>
      <c r="E36" s="92"/>
      <c r="F36" s="92"/>
      <c r="G36" s="55"/>
      <c r="H36" s="55"/>
      <c r="I36" s="55"/>
      <c r="J36" s="10"/>
    </row>
    <row r="37" spans="1:10" ht="12.75">
      <c r="A37" s="141"/>
      <c r="B37" s="55"/>
      <c r="C37" s="55"/>
      <c r="D37" s="92"/>
      <c r="E37" s="92"/>
      <c r="F37" s="92"/>
      <c r="G37" s="55"/>
      <c r="H37" s="55"/>
      <c r="I37" s="55"/>
      <c r="J37" s="10"/>
    </row>
    <row r="38" spans="1:10" ht="15" customHeight="1">
      <c r="A38" s="40"/>
      <c r="B38" s="10"/>
      <c r="C38" s="10"/>
      <c r="D38" s="128"/>
      <c r="E38" s="128"/>
      <c r="F38" s="128"/>
      <c r="G38" s="10"/>
      <c r="H38" s="167">
        <f>SUM(H15:H26)</f>
        <v>21367644.399999999</v>
      </c>
      <c r="I38" s="167">
        <f>SUM(I15:I26)</f>
        <v>9400000</v>
      </c>
      <c r="J38" s="10"/>
    </row>
    <row r="39" spans="1:10" ht="15" customHeight="1">
      <c r="A39" s="40"/>
      <c r="B39" s="10"/>
      <c r="C39" s="10"/>
      <c r="D39" s="128"/>
      <c r="E39" s="128"/>
      <c r="F39" s="128"/>
      <c r="G39" s="10"/>
      <c r="H39" s="10"/>
      <c r="I39" s="163">
        <v>9400000</v>
      </c>
      <c r="J39" s="10"/>
    </row>
    <row r="40" spans="1:10">
      <c r="A40" s="40"/>
      <c r="B40" s="10"/>
      <c r="C40" s="10"/>
      <c r="D40" s="10"/>
      <c r="E40" s="10"/>
      <c r="F40" s="10"/>
      <c r="G40" s="10"/>
      <c r="H40" s="10"/>
      <c r="I40" s="167">
        <f>I38-I39</f>
        <v>0</v>
      </c>
      <c r="J40" s="10"/>
    </row>
    <row r="41" spans="1:10">
      <c r="A41" s="40"/>
      <c r="B41" s="10"/>
      <c r="C41" s="10"/>
      <c r="D41" s="10"/>
      <c r="E41" s="10"/>
      <c r="F41" s="10"/>
      <c r="G41" s="10"/>
      <c r="H41" s="10"/>
      <c r="I41" s="167">
        <f>I39-I15-I17-I23</f>
        <v>6500000</v>
      </c>
      <c r="J41" s="10"/>
    </row>
    <row r="42" spans="1:10">
      <c r="A42" s="10"/>
      <c r="B42" s="10"/>
      <c r="C42" s="10"/>
      <c r="D42" s="10"/>
      <c r="E42" s="10"/>
      <c r="F42" s="10"/>
      <c r="G42" s="10" t="s">
        <v>32</v>
      </c>
    </row>
    <row r="43" spans="1:10">
      <c r="A43" s="10"/>
      <c r="B43" s="10"/>
      <c r="C43" s="10"/>
      <c r="D43" s="10"/>
      <c r="E43" s="10"/>
      <c r="F43" s="10"/>
      <c r="G43" s="10"/>
    </row>
    <row r="44" spans="1:10" ht="12.75">
      <c r="B44" s="46" t="s">
        <v>72</v>
      </c>
      <c r="F44" s="104" t="s">
        <v>73</v>
      </c>
    </row>
    <row r="45" spans="1:10">
      <c r="B45" s="105"/>
      <c r="G45" s="42" t="s">
        <v>33</v>
      </c>
    </row>
    <row r="46" spans="1:10">
      <c r="B46" s="105"/>
      <c r="G46" s="43" t="s">
        <v>31</v>
      </c>
    </row>
    <row r="48" spans="1:10">
      <c r="A48" s="1" t="s">
        <v>34</v>
      </c>
    </row>
    <row r="50" spans="1:1">
      <c r="A50" s="1" t="s">
        <v>35</v>
      </c>
    </row>
    <row r="51" spans="1:1">
      <c r="A51" s="1" t="s">
        <v>36</v>
      </c>
    </row>
  </sheetData>
  <mergeCells count="10">
    <mergeCell ref="C16:C17"/>
    <mergeCell ref="D16:D17"/>
    <mergeCell ref="E16:E17"/>
    <mergeCell ref="F16:F17"/>
    <mergeCell ref="G16:G17"/>
    <mergeCell ref="D7:E7"/>
    <mergeCell ref="H7:J7"/>
    <mergeCell ref="A1:J1"/>
    <mergeCell ref="A2:J2"/>
    <mergeCell ref="A3:J3"/>
  </mergeCells>
  <pageMargins left="0.72" right="0.17" top="0.1" bottom="0.1" header="0.01" footer="0.1"/>
  <pageSetup paperSize="5" scale="99" orientation="landscape" horizontalDpi="300" verticalDpi="300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92D050"/>
  </sheetPr>
  <dimension ref="A1:O93"/>
  <sheetViews>
    <sheetView workbookViewId="0">
      <selection activeCell="I29" sqref="I29"/>
    </sheetView>
  </sheetViews>
  <sheetFormatPr defaultRowHeight="12"/>
  <cols>
    <col min="1" max="1" width="12" style="1" bestFit="1" customWidth="1"/>
    <col min="2" max="2" width="9.140625" style="1"/>
    <col min="3" max="3" width="4.42578125" style="1" customWidth="1"/>
    <col min="4" max="4" width="5.5703125" style="1" customWidth="1"/>
    <col min="5" max="5" width="13.7109375" style="1" customWidth="1"/>
    <col min="6" max="6" width="14.5703125" style="1" customWidth="1"/>
    <col min="7" max="7" width="13.85546875" style="1" customWidth="1"/>
    <col min="8" max="8" width="14.85546875" style="1" customWidth="1"/>
    <col min="9" max="9" width="12.5703125" style="1" customWidth="1"/>
    <col min="10" max="10" width="12.42578125" style="1" customWidth="1"/>
    <col min="11" max="11" width="10" style="1" customWidth="1"/>
    <col min="12" max="12" width="10.7109375" style="1" customWidth="1"/>
    <col min="13" max="13" width="15.42578125" style="177" customWidth="1"/>
    <col min="14" max="14" width="15.28515625" style="177" customWidth="1"/>
    <col min="15" max="15" width="15.42578125" style="1" customWidth="1"/>
    <col min="16" max="16384" width="9.140625" style="1"/>
  </cols>
  <sheetData>
    <row r="1" spans="1:15">
      <c r="A1" s="409" t="s">
        <v>82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</row>
    <row r="2" spans="1:15">
      <c r="A2" s="409" t="s">
        <v>37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</row>
    <row r="3" spans="1:15">
      <c r="A3" s="409" t="s">
        <v>166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</row>
    <row r="4" spans="1:15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</row>
    <row r="5" spans="1:15">
      <c r="A5" s="2"/>
      <c r="B5" s="3"/>
      <c r="C5" s="3"/>
      <c r="D5" s="3"/>
      <c r="E5" s="4"/>
      <c r="F5" s="44"/>
      <c r="G5" s="5"/>
      <c r="H5" s="106"/>
      <c r="I5" s="6"/>
      <c r="J5" s="7"/>
      <c r="K5" s="8"/>
      <c r="L5" s="8"/>
    </row>
    <row r="6" spans="1:15">
      <c r="A6" s="9"/>
      <c r="B6" s="10"/>
      <c r="C6" s="10"/>
      <c r="D6" s="10"/>
      <c r="E6" s="11" t="s">
        <v>38</v>
      </c>
      <c r="F6" s="11" t="s">
        <v>41</v>
      </c>
      <c r="G6" s="12" t="s">
        <v>42</v>
      </c>
      <c r="H6" s="11" t="s">
        <v>45</v>
      </c>
      <c r="I6" s="13" t="s">
        <v>41</v>
      </c>
      <c r="J6" s="11" t="s">
        <v>25</v>
      </c>
      <c r="K6" s="11"/>
      <c r="L6" s="11"/>
    </row>
    <row r="7" spans="1:15">
      <c r="A7" s="86" t="s">
        <v>44</v>
      </c>
      <c r="B7" s="87"/>
      <c r="C7" s="87"/>
      <c r="D7" s="10"/>
      <c r="E7" s="11" t="s">
        <v>39</v>
      </c>
      <c r="F7" s="181" t="s">
        <v>167</v>
      </c>
      <c r="G7" s="12" t="s">
        <v>43</v>
      </c>
      <c r="H7" s="11" t="s">
        <v>46</v>
      </c>
      <c r="I7" s="182" t="s">
        <v>165</v>
      </c>
      <c r="J7" s="11" t="s">
        <v>26</v>
      </c>
      <c r="K7" s="15" t="s">
        <v>48</v>
      </c>
      <c r="L7" s="11" t="s">
        <v>28</v>
      </c>
    </row>
    <row r="8" spans="1:15">
      <c r="A8" s="9"/>
      <c r="B8" s="10"/>
      <c r="C8" s="10"/>
      <c r="D8" s="10"/>
      <c r="E8" s="11" t="s">
        <v>40</v>
      </c>
      <c r="F8" s="14"/>
      <c r="G8" s="16"/>
      <c r="H8" s="11" t="s">
        <v>47</v>
      </c>
      <c r="I8" s="13"/>
      <c r="J8" s="11" t="s">
        <v>27</v>
      </c>
      <c r="K8" s="11" t="s">
        <v>49</v>
      </c>
      <c r="L8" s="11"/>
    </row>
    <row r="9" spans="1:15">
      <c r="A9" s="17"/>
      <c r="B9" s="18"/>
      <c r="C9" s="18"/>
      <c r="D9" s="18"/>
      <c r="E9" s="19"/>
      <c r="F9" s="45"/>
      <c r="G9" s="16"/>
      <c r="H9" s="107"/>
      <c r="I9" s="20"/>
      <c r="J9" s="21"/>
      <c r="K9" s="22"/>
      <c r="L9" s="22"/>
    </row>
    <row r="10" spans="1:15">
      <c r="A10" s="23" t="s">
        <v>50</v>
      </c>
      <c r="B10" s="24"/>
      <c r="C10" s="24"/>
      <c r="D10" s="25"/>
      <c r="E10" s="7"/>
      <c r="F10" s="7"/>
      <c r="G10" s="95"/>
      <c r="H10" s="95"/>
      <c r="I10" s="95"/>
      <c r="J10" s="10"/>
      <c r="K10" s="7"/>
      <c r="L10" s="7"/>
      <c r="M10" s="180" t="s">
        <v>163</v>
      </c>
      <c r="N10" s="180" t="s">
        <v>164</v>
      </c>
    </row>
    <row r="11" spans="1:15">
      <c r="A11" s="26" t="s">
        <v>51</v>
      </c>
      <c r="B11" s="25"/>
      <c r="C11" s="25"/>
      <c r="D11" s="25"/>
      <c r="E11" s="27"/>
      <c r="F11" s="27"/>
      <c r="G11" s="96"/>
      <c r="H11" s="96"/>
      <c r="I11" s="96"/>
      <c r="J11" s="28"/>
      <c r="K11" s="27"/>
      <c r="L11" s="27"/>
      <c r="M11" s="177">
        <v>910990.84</v>
      </c>
      <c r="N11" s="177">
        <v>2125645.29</v>
      </c>
      <c r="O11" s="179">
        <f>SUM(M11:N11)</f>
        <v>3036636.13</v>
      </c>
    </row>
    <row r="12" spans="1:15" ht="12.75">
      <c r="A12" s="26" t="s">
        <v>52</v>
      </c>
      <c r="B12" s="25"/>
      <c r="C12" s="25"/>
      <c r="D12" s="25"/>
      <c r="E12" s="29"/>
      <c r="F12" s="177">
        <v>1897753.11</v>
      </c>
      <c r="G12" s="369">
        <v>18155601.129999999</v>
      </c>
      <c r="H12" s="101">
        <v>12749878.970000001</v>
      </c>
      <c r="I12" s="101">
        <f>F12+G12-H12</f>
        <v>7303475.2699999977</v>
      </c>
      <c r="J12" s="10"/>
      <c r="K12" s="29"/>
      <c r="L12" s="29"/>
      <c r="M12" s="177">
        <v>454080.81</v>
      </c>
      <c r="N12" s="177">
        <v>1059521.8899999999</v>
      </c>
      <c r="O12" s="179">
        <f t="shared" ref="O12:O22" si="0">SUM(M12:N12)</f>
        <v>1513602.7</v>
      </c>
    </row>
    <row r="13" spans="1:15" ht="12.75">
      <c r="A13" s="26" t="s">
        <v>53</v>
      </c>
      <c r="B13" s="25"/>
      <c r="C13" s="25"/>
      <c r="D13" s="30"/>
      <c r="E13" s="7"/>
      <c r="F13" s="7"/>
      <c r="G13" s="102"/>
      <c r="H13" s="102"/>
      <c r="I13" s="102"/>
      <c r="J13" s="2"/>
      <c r="K13" s="7"/>
      <c r="L13" s="7"/>
      <c r="M13" s="177">
        <v>763923.74</v>
      </c>
      <c r="N13" s="177">
        <v>1782488.73</v>
      </c>
      <c r="O13" s="179">
        <f t="shared" si="0"/>
        <v>2546412.4699999997</v>
      </c>
    </row>
    <row r="14" spans="1:15" ht="12.75">
      <c r="A14" s="31" t="s">
        <v>54</v>
      </c>
      <c r="B14" s="10"/>
      <c r="C14" s="10"/>
      <c r="D14" s="10"/>
      <c r="E14" s="27"/>
      <c r="F14" s="27"/>
      <c r="G14" s="94"/>
      <c r="H14" s="94"/>
      <c r="I14" s="94"/>
      <c r="J14" s="28"/>
      <c r="K14" s="27"/>
      <c r="L14" s="27"/>
      <c r="M14" s="177">
        <v>388834.57</v>
      </c>
      <c r="N14" s="177">
        <v>907280.66</v>
      </c>
      <c r="O14" s="179">
        <f t="shared" si="0"/>
        <v>1296115.23</v>
      </c>
    </row>
    <row r="15" spans="1:15">
      <c r="A15" s="32" t="s">
        <v>55</v>
      </c>
      <c r="B15" s="3"/>
      <c r="C15" s="3"/>
      <c r="D15" s="3"/>
      <c r="E15" s="405"/>
      <c r="F15" s="405"/>
      <c r="G15" s="407"/>
      <c r="H15" s="407"/>
      <c r="I15" s="407"/>
      <c r="J15" s="405"/>
      <c r="K15" s="405"/>
      <c r="L15" s="405"/>
      <c r="M15" s="177">
        <v>421446.22</v>
      </c>
      <c r="N15" s="177">
        <v>983374.51</v>
      </c>
      <c r="O15" s="179">
        <f t="shared" si="0"/>
        <v>1404820.73</v>
      </c>
    </row>
    <row r="16" spans="1:15">
      <c r="A16" s="33" t="s">
        <v>56</v>
      </c>
      <c r="B16" s="18"/>
      <c r="C16" s="18"/>
      <c r="D16" s="18"/>
      <c r="E16" s="406"/>
      <c r="F16" s="406"/>
      <c r="G16" s="408"/>
      <c r="H16" s="408"/>
      <c r="I16" s="408"/>
      <c r="J16" s="406"/>
      <c r="K16" s="406"/>
      <c r="L16" s="406"/>
      <c r="M16" s="177">
        <v>789237.05</v>
      </c>
      <c r="N16" s="177">
        <v>1841553.12</v>
      </c>
      <c r="O16" s="179">
        <f t="shared" si="0"/>
        <v>2630790.17</v>
      </c>
    </row>
    <row r="17" spans="1:15" ht="12.75">
      <c r="A17" s="34" t="s">
        <v>69</v>
      </c>
      <c r="B17" s="18"/>
      <c r="C17" s="18"/>
      <c r="D17" s="18"/>
      <c r="E17" s="21"/>
      <c r="F17" s="158">
        <f>8736531.71</f>
        <v>8736531.7100000009</v>
      </c>
      <c r="G17" s="370">
        <v>7780971.9199999999</v>
      </c>
      <c r="H17" s="103">
        <v>11666694.060000001</v>
      </c>
      <c r="I17" s="101">
        <f>F17+G17-H17</f>
        <v>4850809.57</v>
      </c>
      <c r="J17" s="10"/>
      <c r="K17" s="29"/>
      <c r="L17" s="29"/>
      <c r="M17" s="177">
        <v>80821.679999999993</v>
      </c>
      <c r="N17" s="177">
        <v>188583.92</v>
      </c>
      <c r="O17" s="179">
        <f t="shared" si="0"/>
        <v>269405.59999999998</v>
      </c>
    </row>
    <row r="18" spans="1:15">
      <c r="A18" s="26" t="s">
        <v>4</v>
      </c>
      <c r="B18" s="25"/>
      <c r="C18" s="25"/>
      <c r="D18" s="25"/>
      <c r="E18" s="29"/>
      <c r="F18" s="29"/>
      <c r="G18" s="95"/>
      <c r="H18" s="96"/>
      <c r="I18" s="96"/>
      <c r="J18" s="28"/>
      <c r="K18" s="27"/>
      <c r="L18" s="27"/>
      <c r="M18" s="177">
        <v>447162.6</v>
      </c>
      <c r="N18" s="177">
        <v>1043379.39</v>
      </c>
      <c r="O18" s="179">
        <f t="shared" si="0"/>
        <v>1490541.99</v>
      </c>
    </row>
    <row r="19" spans="1:15" ht="12.75">
      <c r="A19" s="35" t="s">
        <v>5</v>
      </c>
      <c r="B19" s="25"/>
      <c r="C19" s="25"/>
      <c r="D19" s="25"/>
      <c r="E19" s="27"/>
      <c r="F19" s="96">
        <v>300000</v>
      </c>
      <c r="G19" s="30"/>
      <c r="H19" s="98">
        <v>289860</v>
      </c>
      <c r="I19" s="101">
        <f>F19+G19-H19</f>
        <v>10140</v>
      </c>
      <c r="J19" s="10"/>
      <c r="K19" s="29"/>
      <c r="L19" s="29"/>
      <c r="M19" s="177">
        <v>839825.34</v>
      </c>
      <c r="N19" s="177">
        <v>1959592.46</v>
      </c>
      <c r="O19" s="179">
        <f t="shared" si="0"/>
        <v>2799417.8</v>
      </c>
    </row>
    <row r="20" spans="1:15">
      <c r="A20" s="35" t="s">
        <v>6</v>
      </c>
      <c r="B20" s="25"/>
      <c r="C20" s="25"/>
      <c r="D20" s="25"/>
      <c r="E20" s="21"/>
      <c r="F20" s="21"/>
      <c r="G20" s="98"/>
      <c r="H20" s="98"/>
      <c r="I20" s="96"/>
      <c r="J20" s="28"/>
      <c r="K20" s="27"/>
      <c r="L20" s="27"/>
      <c r="M20" s="177">
        <v>771976.25</v>
      </c>
      <c r="N20" s="177">
        <v>1801277.91</v>
      </c>
      <c r="O20" s="179">
        <f t="shared" si="0"/>
        <v>2573254.16</v>
      </c>
    </row>
    <row r="21" spans="1:15">
      <c r="A21" s="36" t="s">
        <v>57</v>
      </c>
      <c r="B21" s="25"/>
      <c r="C21" s="25"/>
      <c r="D21" s="25"/>
      <c r="E21" s="7"/>
      <c r="F21" s="7"/>
      <c r="G21" s="95"/>
      <c r="H21" s="95"/>
      <c r="I21" s="96"/>
      <c r="J21" s="10"/>
      <c r="K21" s="29"/>
      <c r="L21" s="29"/>
      <c r="M21" s="177">
        <v>160846.51999999999</v>
      </c>
      <c r="N21" s="177">
        <v>375308.55</v>
      </c>
      <c r="O21" s="179">
        <f t="shared" si="0"/>
        <v>536155.06999999995</v>
      </c>
    </row>
    <row r="22" spans="1:15">
      <c r="A22" s="36" t="s">
        <v>58</v>
      </c>
      <c r="B22" s="25"/>
      <c r="C22" s="25"/>
      <c r="D22" s="25"/>
      <c r="E22" s="27"/>
      <c r="F22" s="27"/>
      <c r="G22" s="96"/>
      <c r="H22" s="96"/>
      <c r="I22" s="97"/>
      <c r="J22" s="28"/>
      <c r="K22" s="27"/>
      <c r="L22" s="27"/>
      <c r="M22" s="177">
        <v>1751826.3</v>
      </c>
      <c r="N22" s="177">
        <v>4087594.7</v>
      </c>
      <c r="O22" s="179">
        <f t="shared" si="0"/>
        <v>5839421</v>
      </c>
    </row>
    <row r="23" spans="1:15">
      <c r="A23" s="36" t="s">
        <v>59</v>
      </c>
      <c r="B23" s="25"/>
      <c r="C23" s="25"/>
      <c r="D23" s="25"/>
      <c r="E23" s="29"/>
      <c r="F23" s="29"/>
      <c r="G23" s="97"/>
      <c r="H23" s="97"/>
      <c r="I23" s="96"/>
      <c r="J23" s="10"/>
      <c r="K23" s="29"/>
      <c r="L23" s="29"/>
      <c r="M23" s="371">
        <f>SUM(M11:M22)</f>
        <v>7780971.919999999</v>
      </c>
      <c r="N23" s="372">
        <f>SUM(N11:N22)</f>
        <v>18155601.129999999</v>
      </c>
      <c r="O23" s="179">
        <f>SUM(M23:N23)</f>
        <v>25936573.049999997</v>
      </c>
    </row>
    <row r="24" spans="1:15">
      <c r="A24" s="37" t="s">
        <v>60</v>
      </c>
      <c r="B24" s="3"/>
      <c r="C24" s="3"/>
      <c r="D24" s="3"/>
      <c r="E24" s="7"/>
      <c r="F24" s="7"/>
      <c r="G24" s="95"/>
      <c r="H24" s="95"/>
      <c r="I24" s="97"/>
      <c r="J24" s="28"/>
      <c r="K24" s="27"/>
      <c r="L24" s="27"/>
      <c r="O24" s="179">
        <f>SUM(O11:O22)</f>
        <v>25936573.050000001</v>
      </c>
    </row>
    <row r="25" spans="1:15">
      <c r="A25" s="36" t="s">
        <v>169</v>
      </c>
      <c r="B25" s="25"/>
      <c r="C25" s="25"/>
      <c r="D25" s="30"/>
      <c r="E25" s="27"/>
      <c r="F25" s="27"/>
      <c r="G25" s="96"/>
      <c r="H25" s="99"/>
      <c r="I25" s="96">
        <v>11930281.939999999</v>
      </c>
      <c r="J25" s="25"/>
      <c r="K25" s="27"/>
      <c r="L25" s="27"/>
    </row>
    <row r="26" spans="1:15">
      <c r="A26" s="23" t="s">
        <v>61</v>
      </c>
      <c r="B26" s="25"/>
      <c r="C26" s="25"/>
      <c r="D26" s="30"/>
      <c r="E26" s="27"/>
      <c r="F26" s="96">
        <f>SUM(F10:F25)</f>
        <v>10934284.82</v>
      </c>
      <c r="G26" s="96">
        <f>SUM(G10:G25)</f>
        <v>25936573.049999997</v>
      </c>
      <c r="H26" s="99">
        <f>SUM(H10:H25)</f>
        <v>24706433.030000001</v>
      </c>
      <c r="I26" s="96">
        <f>SUM(I12:I25)</f>
        <v>24094706.779999997</v>
      </c>
      <c r="J26" s="25"/>
      <c r="K26" s="27"/>
      <c r="L26" s="27"/>
      <c r="M26" s="177">
        <f>F26+G26-H26</f>
        <v>12164424.839999996</v>
      </c>
    </row>
    <row r="27" spans="1:15" ht="12.75">
      <c r="A27" s="33"/>
      <c r="B27" s="18"/>
      <c r="C27" s="18"/>
      <c r="D27" s="18"/>
      <c r="E27" s="17"/>
      <c r="F27" s="21"/>
      <c r="G27" s="98"/>
      <c r="H27" s="100"/>
      <c r="I27" s="98"/>
      <c r="J27" s="10"/>
      <c r="K27" s="21"/>
      <c r="L27" s="21"/>
      <c r="M27" s="177">
        <f>I26-M26</f>
        <v>11930281.940000001</v>
      </c>
      <c r="N27" s="101" t="e">
        <f>#REF!</f>
        <v>#REF!</v>
      </c>
    </row>
    <row r="28" spans="1:15" ht="12.75">
      <c r="A28" s="35"/>
      <c r="B28" s="25"/>
      <c r="C28" s="25"/>
      <c r="D28" s="25"/>
      <c r="E28" s="21"/>
      <c r="F28" s="21"/>
      <c r="G28" s="98"/>
      <c r="H28" s="98"/>
      <c r="I28" s="96" t="s">
        <v>199</v>
      </c>
      <c r="J28" s="27"/>
      <c r="K28" s="27"/>
      <c r="L28" s="27"/>
      <c r="M28" s="177">
        <v>13450281.960000001</v>
      </c>
      <c r="N28" s="102" t="e">
        <f>#REF!</f>
        <v>#REF!</v>
      </c>
    </row>
    <row r="29" spans="1:15" ht="12.75">
      <c r="A29" s="23" t="s">
        <v>62</v>
      </c>
      <c r="B29" s="25"/>
      <c r="C29" s="25"/>
      <c r="D29" s="25"/>
      <c r="E29" s="29"/>
      <c r="F29" s="29"/>
      <c r="G29" s="97"/>
      <c r="H29" s="97"/>
      <c r="I29" s="96"/>
      <c r="J29" s="10"/>
      <c r="K29" s="27"/>
      <c r="L29" s="27"/>
      <c r="M29" s="177">
        <f>M27-M28</f>
        <v>-1520000.0199999996</v>
      </c>
      <c r="N29" s="94" t="e">
        <f>#REF!</f>
        <v>#REF!</v>
      </c>
    </row>
    <row r="30" spans="1:15" ht="12" customHeight="1">
      <c r="A30" s="35" t="s">
        <v>63</v>
      </c>
      <c r="B30" s="25"/>
      <c r="C30" s="25"/>
      <c r="D30" s="25"/>
      <c r="E30" s="27"/>
      <c r="F30" s="27"/>
      <c r="G30" s="96"/>
      <c r="H30" s="96"/>
      <c r="I30" s="97"/>
      <c r="J30" s="28"/>
      <c r="K30" s="29"/>
      <c r="L30" s="29"/>
      <c r="N30" s="407" t="e">
        <f>#REF!</f>
        <v>#REF!</v>
      </c>
    </row>
    <row r="31" spans="1:15" ht="12" customHeight="1">
      <c r="A31" s="35" t="s">
        <v>57</v>
      </c>
      <c r="B31" s="25"/>
      <c r="C31" s="25"/>
      <c r="D31" s="25"/>
      <c r="E31" s="29"/>
      <c r="F31" s="29"/>
      <c r="G31" s="97"/>
      <c r="H31" s="97"/>
      <c r="I31" s="96"/>
      <c r="J31" s="10"/>
      <c r="K31" s="27"/>
      <c r="L31" s="27"/>
      <c r="N31" s="408"/>
    </row>
    <row r="32" spans="1:15" ht="12.75">
      <c r="A32" s="35" t="s">
        <v>4</v>
      </c>
      <c r="B32" s="25"/>
      <c r="C32" s="25"/>
      <c r="D32" s="25"/>
      <c r="E32" s="27"/>
      <c r="F32" s="27"/>
      <c r="G32" s="96"/>
      <c r="H32" s="96"/>
      <c r="I32" s="96"/>
      <c r="J32" s="28"/>
      <c r="K32" s="29"/>
      <c r="L32" s="29"/>
      <c r="N32" s="101" t="e">
        <f>#REF!</f>
        <v>#REF!</v>
      </c>
    </row>
    <row r="33" spans="1:14">
      <c r="A33" s="38" t="s">
        <v>64</v>
      </c>
      <c r="B33" s="25"/>
      <c r="C33" s="25"/>
      <c r="D33" s="30"/>
      <c r="E33" s="21"/>
      <c r="F33" s="21"/>
      <c r="G33" s="98"/>
      <c r="H33" s="98"/>
      <c r="I33" s="98"/>
      <c r="J33" s="28"/>
      <c r="K33" s="27"/>
      <c r="L33" s="27"/>
      <c r="N33" s="96" t="e">
        <f>#REF!</f>
        <v>#REF!</v>
      </c>
    </row>
    <row r="34" spans="1:14" ht="12.75">
      <c r="A34" s="39" t="s">
        <v>65</v>
      </c>
      <c r="B34" s="10"/>
      <c r="C34" s="10"/>
      <c r="D34" s="10"/>
      <c r="E34" s="7"/>
      <c r="F34" s="7"/>
      <c r="G34" s="95"/>
      <c r="H34" s="95"/>
      <c r="I34" s="95"/>
      <c r="J34" s="7"/>
      <c r="K34" s="7"/>
      <c r="L34" s="7"/>
      <c r="N34" s="101" t="e">
        <f>#REF!</f>
        <v>#REF!</v>
      </c>
    </row>
    <row r="35" spans="1:14">
      <c r="A35" s="36" t="s">
        <v>66</v>
      </c>
      <c r="B35" s="25"/>
      <c r="C35" s="25"/>
      <c r="D35" s="25"/>
      <c r="E35" s="27"/>
      <c r="F35" s="27"/>
      <c r="G35" s="96"/>
      <c r="H35" s="96"/>
      <c r="I35" s="96"/>
      <c r="J35" s="27"/>
      <c r="K35" s="27"/>
      <c r="L35" s="27"/>
      <c r="N35" s="96" t="e">
        <f>#REF!</f>
        <v>#REF!</v>
      </c>
    </row>
    <row r="36" spans="1:14">
      <c r="A36" s="38"/>
      <c r="B36" s="25"/>
      <c r="C36" s="18"/>
      <c r="D36" s="25"/>
      <c r="E36" s="29"/>
      <c r="F36" s="29"/>
      <c r="G36" s="97"/>
      <c r="H36" s="97"/>
      <c r="I36" s="97"/>
      <c r="J36" s="29"/>
      <c r="K36" s="29"/>
      <c r="L36" s="29"/>
      <c r="N36" s="96" t="e">
        <f>#REF!</f>
        <v>#REF!</v>
      </c>
    </row>
    <row r="37" spans="1:14" ht="15" customHeight="1">
      <c r="A37" s="23" t="s">
        <v>61</v>
      </c>
      <c r="B37" s="25"/>
      <c r="C37" s="25"/>
      <c r="D37" s="25"/>
      <c r="E37" s="27"/>
      <c r="F37" s="27"/>
      <c r="G37" s="96"/>
      <c r="H37" s="96"/>
      <c r="I37" s="96"/>
      <c r="J37" s="27"/>
      <c r="K37" s="27"/>
      <c r="L37" s="27"/>
      <c r="N37" s="97" t="e">
        <f>#REF!</f>
        <v>#REF!</v>
      </c>
    </row>
    <row r="38" spans="1:14" ht="15" customHeight="1">
      <c r="A38" s="23" t="s">
        <v>67</v>
      </c>
      <c r="B38" s="25"/>
      <c r="C38" s="25"/>
      <c r="D38" s="25"/>
      <c r="E38" s="21"/>
      <c r="F38" s="98">
        <f>F26+F37</f>
        <v>10934284.82</v>
      </c>
      <c r="G38" s="98">
        <f>G26+G37</f>
        <v>25936573.049999997</v>
      </c>
      <c r="H38" s="98">
        <f>H26+H37</f>
        <v>24706433.030000001</v>
      </c>
      <c r="I38" s="98">
        <f>I26+I37</f>
        <v>24094706.779999997</v>
      </c>
      <c r="J38" s="21"/>
      <c r="K38" s="21"/>
      <c r="L38" s="21"/>
      <c r="N38" s="96" t="e">
        <f>#REF!</f>
        <v>#REF!</v>
      </c>
    </row>
    <row r="39" spans="1:14">
      <c r="A39" s="4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N39" s="97" t="e">
        <f>#REF!</f>
        <v>#REF!</v>
      </c>
    </row>
    <row r="40" spans="1:14">
      <c r="A40" s="4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N40" s="96" t="e">
        <f>#REF!</f>
        <v>#REF!</v>
      </c>
    </row>
    <row r="41" spans="1:14">
      <c r="A41" s="10"/>
      <c r="B41" s="10"/>
      <c r="C41" s="10"/>
      <c r="D41" s="10" t="s">
        <v>29</v>
      </c>
      <c r="E41" s="10"/>
      <c r="F41" s="10"/>
      <c r="G41" s="10"/>
      <c r="H41" s="10"/>
      <c r="I41" s="10"/>
      <c r="J41" s="10" t="s">
        <v>32</v>
      </c>
      <c r="N41" s="96" t="e">
        <f>#REF!</f>
        <v>#REF!</v>
      </c>
    </row>
    <row r="42" spans="1:14">
      <c r="A42" s="10"/>
      <c r="B42" s="10"/>
      <c r="C42" s="10"/>
      <c r="D42" s="10"/>
      <c r="E42" s="10"/>
      <c r="F42" s="10"/>
      <c r="G42" s="10"/>
      <c r="H42" s="10"/>
      <c r="I42" s="10"/>
      <c r="J42" s="10"/>
      <c r="N42" s="98" t="e">
        <f>#REF!</f>
        <v>#REF!</v>
      </c>
    </row>
    <row r="43" spans="1:14">
      <c r="A43" s="10"/>
      <c r="B43" s="10"/>
      <c r="C43" s="10"/>
      <c r="D43" s="10"/>
      <c r="E43" s="10"/>
      <c r="F43" s="10"/>
      <c r="G43" s="10"/>
      <c r="H43" s="163"/>
      <c r="I43" s="10"/>
      <c r="J43" s="10"/>
      <c r="N43" s="97" t="e">
        <f>#REF!</f>
        <v>#REF!</v>
      </c>
    </row>
    <row r="44" spans="1:14" ht="12.75">
      <c r="E44" s="46" t="s">
        <v>72</v>
      </c>
      <c r="G44" s="179"/>
      <c r="I44" s="104" t="s">
        <v>73</v>
      </c>
      <c r="N44" s="96" t="e">
        <f>#REF!</f>
        <v>#REF!</v>
      </c>
    </row>
    <row r="45" spans="1:14">
      <c r="D45" s="41" t="s">
        <v>30</v>
      </c>
      <c r="E45" s="105"/>
      <c r="J45" s="42" t="s">
        <v>33</v>
      </c>
      <c r="N45" s="97" t="e">
        <f>#REF!</f>
        <v>#REF!</v>
      </c>
    </row>
    <row r="46" spans="1:14">
      <c r="D46" s="43"/>
      <c r="E46" s="105"/>
      <c r="J46" s="43"/>
      <c r="N46" s="96" t="e">
        <f>#REF!</f>
        <v>#REF!</v>
      </c>
    </row>
    <row r="47" spans="1:14">
      <c r="A47" s="1" t="s">
        <v>34</v>
      </c>
      <c r="I47" s="205">
        <f>SUM(I12:I19)</f>
        <v>12164424.839999998</v>
      </c>
      <c r="N47" s="98" t="e">
        <f>#REF!</f>
        <v>#REF!</v>
      </c>
    </row>
    <row r="48" spans="1:14">
      <c r="A48" s="1" t="s">
        <v>35</v>
      </c>
      <c r="N48" s="95" t="e">
        <f>#REF!</f>
        <v>#REF!</v>
      </c>
    </row>
    <row r="49" spans="1:14">
      <c r="A49" s="1" t="s">
        <v>36</v>
      </c>
      <c r="N49" s="96" t="e">
        <f>#REF!</f>
        <v>#REF!</v>
      </c>
    </row>
    <row r="50" spans="1:14">
      <c r="N50" s="97" t="e">
        <f>#REF!</f>
        <v>#REF!</v>
      </c>
    </row>
    <row r="51" spans="1:14">
      <c r="N51" s="96" t="e">
        <f>#REF!</f>
        <v>#REF!</v>
      </c>
    </row>
    <row r="52" spans="1:14">
      <c r="I52" s="177">
        <v>24094706.780000001</v>
      </c>
      <c r="N52" s="98" t="e">
        <f>#REF!</f>
        <v>#REF!</v>
      </c>
    </row>
    <row r="53" spans="1:14">
      <c r="I53" s="179">
        <f>I38-I52</f>
        <v>0</v>
      </c>
    </row>
    <row r="54" spans="1:14" ht="12.75">
      <c r="H54" s="94">
        <v>9670281.9600000009</v>
      </c>
      <c r="I54" s="94">
        <v>2260000</v>
      </c>
    </row>
    <row r="55" spans="1:14">
      <c r="N55" s="177">
        <v>24708913.030000001</v>
      </c>
    </row>
    <row r="56" spans="1:14">
      <c r="N56" s="177">
        <v>12778631.07</v>
      </c>
    </row>
    <row r="57" spans="1:14">
      <c r="I57" s="177"/>
      <c r="L57" s="177">
        <v>650000</v>
      </c>
      <c r="N57" s="177">
        <f>N55-N56</f>
        <v>11930281.960000001</v>
      </c>
    </row>
    <row r="58" spans="1:14">
      <c r="H58" s="177">
        <v>33774597.039999999</v>
      </c>
      <c r="I58" s="177">
        <v>33774597.039999999</v>
      </c>
      <c r="J58" s="177">
        <v>59413408.43</v>
      </c>
      <c r="L58" s="179">
        <f>L57*5</f>
        <v>3250000</v>
      </c>
    </row>
    <row r="59" spans="1:14">
      <c r="H59" s="177">
        <v>-2007818.69</v>
      </c>
      <c r="I59" s="177">
        <v>1926412.34</v>
      </c>
      <c r="J59" s="177">
        <v>8274143.3399999999</v>
      </c>
      <c r="L59" s="177">
        <v>100000</v>
      </c>
    </row>
    <row r="60" spans="1:14">
      <c r="H60" s="177">
        <f>SUM(H58:H59)</f>
        <v>31766778.349999998</v>
      </c>
      <c r="I60" s="177">
        <f>SUM(I58:I59)</f>
        <v>35701009.380000003</v>
      </c>
      <c r="J60" s="177">
        <v>8530150.3000000007</v>
      </c>
      <c r="L60" s="179">
        <f>L58-L59</f>
        <v>3150000</v>
      </c>
    </row>
    <row r="61" spans="1:14">
      <c r="G61" s="177">
        <v>1926412.34</v>
      </c>
      <c r="H61" s="177">
        <v>1401788.7</v>
      </c>
      <c r="I61" s="177">
        <v>4323383.54</v>
      </c>
      <c r="J61" s="177">
        <v>568586.64</v>
      </c>
    </row>
    <row r="62" spans="1:14">
      <c r="G62" s="177">
        <v>324623.64</v>
      </c>
      <c r="H62" s="177">
        <f>SUM(H60:H61)</f>
        <v>33168567.049999997</v>
      </c>
      <c r="I62" s="177">
        <f>I60+I61</f>
        <v>40024392.920000002</v>
      </c>
      <c r="J62" s="177">
        <v>3020311.52</v>
      </c>
    </row>
    <row r="63" spans="1:14">
      <c r="G63" s="177">
        <f>G61-G62</f>
        <v>1601788.7000000002</v>
      </c>
      <c r="H63" s="177">
        <v>4323383.54</v>
      </c>
      <c r="I63" s="177">
        <v>38226347.060000002</v>
      </c>
      <c r="J63" s="177">
        <v>63258313.549999997</v>
      </c>
      <c r="L63" s="177"/>
    </row>
    <row r="64" spans="1:14">
      <c r="G64" s="177"/>
      <c r="H64" s="177">
        <f>H62-H63</f>
        <v>28845183.509999998</v>
      </c>
      <c r="I64" s="177">
        <f>I62-I63</f>
        <v>1798045.8599999994</v>
      </c>
      <c r="J64" s="177">
        <f>J58-J59+J60+J61+J62</f>
        <v>63258313.550000004</v>
      </c>
      <c r="L64" s="177">
        <v>1360</v>
      </c>
    </row>
    <row r="65" spans="7:12">
      <c r="G65" s="177"/>
      <c r="H65" s="177">
        <v>31629156.780000001</v>
      </c>
      <c r="I65" s="177"/>
      <c r="J65" s="177"/>
      <c r="L65" s="177">
        <v>500</v>
      </c>
    </row>
    <row r="66" spans="7:12">
      <c r="G66" s="177"/>
      <c r="H66" s="177">
        <f>H64-H65</f>
        <v>-2783973.2700000033</v>
      </c>
      <c r="I66" s="177"/>
      <c r="J66" s="177">
        <f>J58-J59</f>
        <v>51139265.090000004</v>
      </c>
      <c r="L66" s="177">
        <v>500</v>
      </c>
    </row>
    <row r="67" spans="7:12">
      <c r="G67" s="177"/>
      <c r="H67" s="177"/>
      <c r="I67" s="177"/>
      <c r="J67" s="177">
        <f>J60+J61</f>
        <v>9098736.9400000013</v>
      </c>
      <c r="L67" s="177">
        <v>500</v>
      </c>
    </row>
    <row r="68" spans="7:12">
      <c r="G68" s="177"/>
      <c r="H68" s="179"/>
      <c r="I68" s="177"/>
      <c r="J68" s="177">
        <f>SUM(J66:J67)</f>
        <v>60238002.030000001</v>
      </c>
      <c r="L68" s="177">
        <v>500</v>
      </c>
    </row>
    <row r="69" spans="7:12">
      <c r="G69" s="177"/>
      <c r="H69" s="177">
        <v>19453703.420000002</v>
      </c>
      <c r="I69" s="177"/>
      <c r="J69" s="177">
        <f>J68-J63</f>
        <v>-3020311.5199999958</v>
      </c>
      <c r="L69" s="177">
        <v>1000</v>
      </c>
    </row>
    <row r="70" spans="7:12">
      <c r="G70" s="177"/>
      <c r="H70" s="177"/>
      <c r="I70" s="177"/>
      <c r="J70" s="177"/>
      <c r="L70" s="177">
        <v>500</v>
      </c>
    </row>
    <row r="71" spans="7:12">
      <c r="H71" s="177"/>
      <c r="I71" s="177"/>
      <c r="L71" s="177">
        <f>SUM(L64:L70)</f>
        <v>4860</v>
      </c>
    </row>
    <row r="72" spans="7:12">
      <c r="G72" s="177"/>
      <c r="H72" s="177"/>
      <c r="I72" s="177"/>
    </row>
    <row r="73" spans="7:12">
      <c r="G73" s="177">
        <v>1897753.11</v>
      </c>
      <c r="H73" s="177">
        <v>24708913.030000001</v>
      </c>
      <c r="I73" s="177">
        <v>1897753.11</v>
      </c>
    </row>
    <row r="74" spans="7:12">
      <c r="G74" s="177">
        <v>11930281.960000001</v>
      </c>
      <c r="H74" s="177">
        <v>0</v>
      </c>
      <c r="I74" s="177">
        <v>11930281.960000001</v>
      </c>
    </row>
    <row r="75" spans="7:12">
      <c r="G75" s="177">
        <v>8736531.7100000009</v>
      </c>
      <c r="H75" s="177">
        <f>SUM(H73:H74)</f>
        <v>24708913.030000001</v>
      </c>
      <c r="I75" s="177">
        <v>8736531.7100000009</v>
      </c>
    </row>
    <row r="76" spans="7:12">
      <c r="G76" s="177">
        <f>SUM(G73:G75)</f>
        <v>22564566.780000001</v>
      </c>
      <c r="H76" s="177">
        <f>G78-H75</f>
        <v>23792226.780000001</v>
      </c>
      <c r="I76" s="177">
        <f>SUM(I73:I75)</f>
        <v>22564566.780000001</v>
      </c>
    </row>
    <row r="77" spans="7:12">
      <c r="G77" s="177">
        <v>25936573.030000001</v>
      </c>
      <c r="H77" s="177"/>
      <c r="I77" s="177">
        <v>1227660</v>
      </c>
    </row>
    <row r="78" spans="7:12">
      <c r="G78" s="177">
        <f>G76+G77</f>
        <v>48501139.810000002</v>
      </c>
      <c r="H78" s="177"/>
      <c r="I78" s="177">
        <f>SUM(I76:I77)</f>
        <v>23792226.780000001</v>
      </c>
    </row>
    <row r="79" spans="7:12">
      <c r="G79" s="177">
        <v>24708913.030000001</v>
      </c>
      <c r="H79" s="177"/>
      <c r="I79" s="177">
        <v>24094706.780000001</v>
      </c>
    </row>
    <row r="80" spans="7:12">
      <c r="G80" s="177">
        <f>G78-G79</f>
        <v>23792226.780000001</v>
      </c>
      <c r="I80" s="177">
        <f>I78-I79</f>
        <v>-302480</v>
      </c>
    </row>
    <row r="81" spans="7:9" ht="12.75">
      <c r="G81" s="177"/>
      <c r="H81" s="109">
        <v>9230293.3200000003</v>
      </c>
      <c r="I81" s="177">
        <v>289860</v>
      </c>
    </row>
    <row r="82" spans="7:9" ht="12.75">
      <c r="G82" s="177">
        <v>1000</v>
      </c>
      <c r="H82" s="109">
        <v>8366854.71</v>
      </c>
      <c r="I82" s="177">
        <f>SUM(I80:I81)</f>
        <v>-12620</v>
      </c>
    </row>
    <row r="83" spans="7:9" ht="12.75">
      <c r="G83" s="177">
        <v>4296.3599999999997</v>
      </c>
      <c r="H83" s="109">
        <v>7111765</v>
      </c>
    </row>
    <row r="84" spans="7:9" ht="12.75">
      <c r="G84" s="177">
        <v>3000</v>
      </c>
      <c r="H84" s="109">
        <f>SUM(H81:H83)</f>
        <v>24708913.030000001</v>
      </c>
      <c r="I84" s="177">
        <v>10140</v>
      </c>
    </row>
    <row r="85" spans="7:9">
      <c r="G85" s="177">
        <v>10000</v>
      </c>
      <c r="H85" s="177">
        <v>24706433.030000001</v>
      </c>
      <c r="I85" s="177">
        <v>2480</v>
      </c>
    </row>
    <row r="86" spans="7:9">
      <c r="G86" s="177">
        <v>13000</v>
      </c>
      <c r="H86" s="179">
        <f>H84-H85</f>
        <v>2480</v>
      </c>
      <c r="I86" s="177">
        <f>SUM(I84:I85)</f>
        <v>12620</v>
      </c>
    </row>
    <row r="87" spans="7:9">
      <c r="G87" s="177">
        <f>SUM(G82:G86)</f>
        <v>31296.36</v>
      </c>
    </row>
    <row r="88" spans="7:9">
      <c r="H88" s="177">
        <v>24708913.030000001</v>
      </c>
    </row>
    <row r="89" spans="7:9">
      <c r="H89" s="177">
        <v>11930281.960000001</v>
      </c>
    </row>
    <row r="90" spans="7:9">
      <c r="H90" s="177">
        <f>H88+H89</f>
        <v>36639194.990000002</v>
      </c>
    </row>
    <row r="91" spans="7:9">
      <c r="H91" s="177">
        <v>36570857.850000001</v>
      </c>
    </row>
    <row r="92" spans="7:9">
      <c r="H92" s="177">
        <f>H90-H91</f>
        <v>68337.140000000596</v>
      </c>
    </row>
    <row r="93" spans="7:9">
      <c r="H93" s="177"/>
    </row>
  </sheetData>
  <mergeCells count="13">
    <mergeCell ref="N30:N31"/>
    <mergeCell ref="K15:K16"/>
    <mergeCell ref="L15:L16"/>
    <mergeCell ref="A1:L1"/>
    <mergeCell ref="A2:L2"/>
    <mergeCell ref="A3:L3"/>
    <mergeCell ref="A4:L4"/>
    <mergeCell ref="E15:E16"/>
    <mergeCell ref="F15:F16"/>
    <mergeCell ref="G15:G16"/>
    <mergeCell ref="H15:H16"/>
    <mergeCell ref="I15:I16"/>
    <mergeCell ref="J15:J16"/>
  </mergeCells>
  <pageMargins left="0.28999999999999998" right="0.17" top="0.1" bottom="0.1" header="0.01" footer="0.1"/>
  <pageSetup scale="99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F29"/>
  <sheetViews>
    <sheetView workbookViewId="0">
      <selection activeCell="F14" sqref="F14"/>
    </sheetView>
  </sheetViews>
  <sheetFormatPr defaultRowHeight="15"/>
  <cols>
    <col min="1" max="1" width="9.140625" style="343"/>
    <col min="2" max="2" width="15" style="343" customWidth="1"/>
    <col min="3" max="3" width="22.42578125" style="343" customWidth="1"/>
    <col min="4" max="4" width="17.140625" style="343" customWidth="1"/>
    <col min="5" max="5" width="19.7109375" style="343" customWidth="1"/>
    <col min="6" max="6" width="31.85546875" style="343" customWidth="1"/>
    <col min="7" max="16384" width="9.140625" style="343"/>
  </cols>
  <sheetData>
    <row r="1" spans="2:6" ht="33.75" customHeight="1">
      <c r="B1" s="394" t="s">
        <v>312</v>
      </c>
      <c r="C1" s="394"/>
      <c r="D1" s="394"/>
      <c r="E1" s="394"/>
      <c r="F1" s="394"/>
    </row>
    <row r="2" spans="2:6" ht="63" customHeight="1">
      <c r="B2" s="356" t="s">
        <v>310</v>
      </c>
      <c r="C2" s="361" t="s">
        <v>331</v>
      </c>
      <c r="D2" s="362" t="s">
        <v>311</v>
      </c>
      <c r="E2" s="361" t="s">
        <v>333</v>
      </c>
      <c r="F2" s="356" t="s">
        <v>28</v>
      </c>
    </row>
    <row r="3" spans="2:6">
      <c r="B3" s="350" t="s">
        <v>313</v>
      </c>
      <c r="C3" s="364">
        <v>38765367.25</v>
      </c>
      <c r="D3" s="345">
        <v>17980132.559999999</v>
      </c>
      <c r="E3" s="345">
        <f>C3-D3</f>
        <v>20785234.690000001</v>
      </c>
      <c r="F3" s="346" t="s">
        <v>315</v>
      </c>
    </row>
    <row r="4" spans="2:6">
      <c r="B4" s="363" t="s">
        <v>314</v>
      </c>
      <c r="C4" s="347"/>
      <c r="D4" s="347"/>
      <c r="E4" s="347"/>
      <c r="F4" s="348" t="s">
        <v>316</v>
      </c>
    </row>
    <row r="5" spans="2:6">
      <c r="B5" s="352"/>
      <c r="C5" s="347"/>
      <c r="D5" s="347"/>
      <c r="E5" s="347"/>
      <c r="F5" s="348" t="s">
        <v>318</v>
      </c>
    </row>
    <row r="6" spans="2:6">
      <c r="B6" s="352"/>
      <c r="C6" s="347"/>
      <c r="D6" s="347"/>
      <c r="E6" s="347"/>
      <c r="F6" s="348" t="s">
        <v>330</v>
      </c>
    </row>
    <row r="7" spans="2:6">
      <c r="B7" s="352"/>
      <c r="C7" s="347"/>
      <c r="D7" s="347"/>
      <c r="E7" s="347"/>
      <c r="F7" s="348"/>
    </row>
    <row r="8" spans="2:6">
      <c r="B8" s="352"/>
      <c r="C8" s="347"/>
      <c r="D8" s="347"/>
      <c r="E8" s="347"/>
      <c r="F8" s="348"/>
    </row>
    <row r="9" spans="2:6">
      <c r="B9" s="352"/>
      <c r="C9" s="347"/>
      <c r="D9" s="347"/>
      <c r="E9" s="347"/>
      <c r="F9" s="348"/>
    </row>
    <row r="10" spans="2:6">
      <c r="B10" s="352" t="s">
        <v>317</v>
      </c>
      <c r="C10" s="347">
        <v>12421065.890000001</v>
      </c>
      <c r="D10" s="347">
        <v>636500</v>
      </c>
      <c r="E10" s="347">
        <f>C10-D10</f>
        <v>11784565.890000001</v>
      </c>
      <c r="F10" s="348"/>
    </row>
    <row r="11" spans="2:6">
      <c r="B11" s="352" t="s">
        <v>178</v>
      </c>
      <c r="C11" s="347"/>
      <c r="D11" s="347"/>
      <c r="E11" s="347"/>
      <c r="F11" s="348"/>
    </row>
    <row r="12" spans="2:6">
      <c r="B12" s="352"/>
      <c r="C12" s="347"/>
      <c r="D12" s="347"/>
      <c r="E12" s="347"/>
      <c r="F12" s="348"/>
    </row>
    <row r="13" spans="2:6" ht="20.25" customHeight="1">
      <c r="B13" s="395" t="s">
        <v>264</v>
      </c>
      <c r="C13" s="396"/>
      <c r="D13" s="396"/>
      <c r="E13" s="397"/>
      <c r="F13" s="355"/>
    </row>
    <row r="14" spans="2:6" ht="18.75" customHeight="1">
      <c r="B14" s="356"/>
      <c r="C14" s="356" t="s">
        <v>324</v>
      </c>
      <c r="D14" s="356" t="s">
        <v>322</v>
      </c>
      <c r="E14" s="356" t="s">
        <v>323</v>
      </c>
      <c r="F14" s="355"/>
    </row>
    <row r="15" spans="2:6">
      <c r="B15" s="350" t="s">
        <v>325</v>
      </c>
      <c r="C15" s="347">
        <v>29362174.23</v>
      </c>
      <c r="D15" s="347">
        <v>3231050.3</v>
      </c>
      <c r="E15" s="347">
        <f>C15-D15</f>
        <v>26131123.93</v>
      </c>
      <c r="F15" s="348"/>
    </row>
    <row r="16" spans="2:6">
      <c r="B16" s="351"/>
      <c r="C16" s="347"/>
      <c r="D16" s="347"/>
      <c r="E16" s="347"/>
      <c r="F16" s="348"/>
    </row>
    <row r="17" spans="2:6">
      <c r="B17" s="352"/>
      <c r="C17" s="347"/>
      <c r="D17" s="347"/>
      <c r="E17" s="347"/>
      <c r="F17" s="348" t="s">
        <v>284</v>
      </c>
    </row>
    <row r="18" spans="2:6">
      <c r="B18" s="349"/>
      <c r="C18" s="349"/>
      <c r="D18" s="349"/>
      <c r="E18" s="349"/>
      <c r="F18" s="349"/>
    </row>
    <row r="21" spans="2:6">
      <c r="B21" s="343" t="s">
        <v>321</v>
      </c>
    </row>
    <row r="23" spans="2:6">
      <c r="B23" s="358" t="s">
        <v>298</v>
      </c>
      <c r="C23" s="359"/>
    </row>
    <row r="24" spans="2:6">
      <c r="B24" s="359" t="s">
        <v>117</v>
      </c>
      <c r="C24" s="359"/>
    </row>
    <row r="25" spans="2:6">
      <c r="D25" s="343" t="s">
        <v>320</v>
      </c>
    </row>
    <row r="27" spans="2:6">
      <c r="D27" s="357" t="s">
        <v>329</v>
      </c>
      <c r="E27" s="357"/>
    </row>
    <row r="28" spans="2:6">
      <c r="D28" s="343" t="s">
        <v>153</v>
      </c>
    </row>
    <row r="29" spans="2:6">
      <c r="D29" s="343" t="s">
        <v>328</v>
      </c>
    </row>
  </sheetData>
  <mergeCells count="2">
    <mergeCell ref="B1:F1"/>
    <mergeCell ref="B13:E13"/>
  </mergeCells>
  <printOptions horizontalCentered="1"/>
  <pageMargins left="0.15" right="0.15" top="0.75" bottom="0.75" header="0.3" footer="0.3"/>
  <pageSetup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28"/>
  <sheetViews>
    <sheetView workbookViewId="0">
      <selection activeCell="G12" sqref="G12"/>
    </sheetView>
  </sheetViews>
  <sheetFormatPr defaultRowHeight="15"/>
  <cols>
    <col min="1" max="1" width="9.140625" style="343"/>
    <col min="2" max="2" width="15" style="343" customWidth="1"/>
    <col min="3" max="3" width="26.140625" style="343" customWidth="1"/>
    <col min="4" max="4" width="16.42578125" style="343" customWidth="1"/>
    <col min="5" max="5" width="18.5703125" style="343" customWidth="1"/>
    <col min="6" max="6" width="29.7109375" style="343" customWidth="1"/>
    <col min="7" max="16384" width="9.140625" style="343"/>
  </cols>
  <sheetData>
    <row r="1" spans="2:6" ht="33.75" customHeight="1">
      <c r="B1" s="398" t="s">
        <v>327</v>
      </c>
      <c r="C1" s="398"/>
      <c r="D1" s="398"/>
      <c r="E1" s="398"/>
      <c r="F1" s="398"/>
    </row>
    <row r="2" spans="2:6" ht="63" customHeight="1">
      <c r="B2" s="356" t="s">
        <v>310</v>
      </c>
      <c r="C2" s="361" t="s">
        <v>331</v>
      </c>
      <c r="D2" s="362" t="s">
        <v>311</v>
      </c>
      <c r="E2" s="361" t="s">
        <v>332</v>
      </c>
      <c r="F2" s="344" t="s">
        <v>28</v>
      </c>
    </row>
    <row r="3" spans="2:6">
      <c r="B3" s="350" t="s">
        <v>313</v>
      </c>
      <c r="C3" s="340">
        <v>41804273.450000003</v>
      </c>
      <c r="D3" s="354">
        <v>540145.61</v>
      </c>
      <c r="E3" s="342">
        <f>C3-D3</f>
        <v>41264127.840000004</v>
      </c>
      <c r="F3" s="346" t="s">
        <v>315</v>
      </c>
    </row>
    <row r="4" spans="2:6">
      <c r="B4" s="363" t="s">
        <v>319</v>
      </c>
      <c r="C4" s="341"/>
      <c r="D4" s="353"/>
      <c r="E4" s="341"/>
      <c r="F4" s="348" t="s">
        <v>316</v>
      </c>
    </row>
    <row r="5" spans="2:6">
      <c r="B5" s="352"/>
      <c r="C5" s="347"/>
      <c r="D5" s="347"/>
      <c r="E5" s="347"/>
      <c r="F5" s="348" t="s">
        <v>318</v>
      </c>
    </row>
    <row r="6" spans="2:6">
      <c r="B6" s="352"/>
      <c r="C6" s="347"/>
      <c r="D6" s="347"/>
      <c r="E6" s="347"/>
      <c r="F6" s="348" t="s">
        <v>330</v>
      </c>
    </row>
    <row r="7" spans="2:6">
      <c r="B7" s="352"/>
      <c r="C7" s="347"/>
      <c r="D7" s="347"/>
      <c r="E7" s="347"/>
      <c r="F7" s="348"/>
    </row>
    <row r="8" spans="2:6">
      <c r="B8" s="352"/>
      <c r="C8" s="347"/>
      <c r="D8" s="347"/>
      <c r="E8" s="347"/>
      <c r="F8" s="348"/>
    </row>
    <row r="9" spans="2:6">
      <c r="B9" s="352" t="s">
        <v>317</v>
      </c>
      <c r="C9" s="341">
        <v>16004565.890000001</v>
      </c>
      <c r="D9" s="353">
        <v>0</v>
      </c>
      <c r="E9" s="341">
        <f>C9-D9</f>
        <v>16004565.890000001</v>
      </c>
      <c r="F9" s="348"/>
    </row>
    <row r="10" spans="2:6">
      <c r="B10" s="352" t="s">
        <v>178</v>
      </c>
      <c r="C10" s="341"/>
      <c r="D10" s="353"/>
      <c r="E10" s="341"/>
      <c r="F10" s="348"/>
    </row>
    <row r="11" spans="2:6">
      <c r="B11" s="352"/>
      <c r="C11" s="347"/>
      <c r="D11" s="347"/>
      <c r="E11" s="347"/>
      <c r="F11" s="348"/>
    </row>
    <row r="12" spans="2:6" ht="18.75" customHeight="1">
      <c r="B12" s="399" t="s">
        <v>264</v>
      </c>
      <c r="C12" s="400"/>
      <c r="D12" s="400"/>
      <c r="E12" s="401"/>
      <c r="F12" s="355"/>
    </row>
    <row r="13" spans="2:6" ht="21" customHeight="1">
      <c r="B13" s="356"/>
      <c r="C13" s="356" t="s">
        <v>324</v>
      </c>
      <c r="D13" s="356" t="s">
        <v>322</v>
      </c>
      <c r="E13" s="356" t="s">
        <v>323</v>
      </c>
      <c r="F13" s="355"/>
    </row>
    <row r="14" spans="2:6">
      <c r="B14" s="350" t="s">
        <v>326</v>
      </c>
      <c r="C14" s="341">
        <v>40344520.509999998</v>
      </c>
      <c r="D14" s="341">
        <v>0</v>
      </c>
      <c r="E14" s="341">
        <f>C14-D14</f>
        <v>40344520.509999998</v>
      </c>
      <c r="F14" s="348"/>
    </row>
    <row r="15" spans="2:6">
      <c r="B15" s="351"/>
      <c r="C15" s="347"/>
      <c r="D15" s="347"/>
      <c r="E15" s="347"/>
      <c r="F15" s="348"/>
    </row>
    <row r="16" spans="2:6">
      <c r="B16" s="352"/>
      <c r="C16" s="347"/>
      <c r="D16" s="347"/>
      <c r="E16" s="347"/>
      <c r="F16" s="348" t="s">
        <v>284</v>
      </c>
    </row>
    <row r="17" spans="2:6">
      <c r="B17" s="349"/>
      <c r="C17" s="360"/>
      <c r="D17" s="360"/>
      <c r="E17" s="360"/>
      <c r="F17" s="349"/>
    </row>
    <row r="20" spans="2:6">
      <c r="B20" s="343" t="s">
        <v>321</v>
      </c>
    </row>
    <row r="22" spans="2:6">
      <c r="B22" s="358" t="s">
        <v>298</v>
      </c>
      <c r="C22" s="359"/>
    </row>
    <row r="23" spans="2:6">
      <c r="B23" s="359" t="s">
        <v>117</v>
      </c>
      <c r="C23" s="359"/>
    </row>
    <row r="24" spans="2:6">
      <c r="D24" s="343" t="s">
        <v>320</v>
      </c>
    </row>
    <row r="26" spans="2:6">
      <c r="D26" s="357" t="s">
        <v>329</v>
      </c>
      <c r="E26" s="357"/>
    </row>
    <row r="27" spans="2:6">
      <c r="D27" s="343" t="s">
        <v>153</v>
      </c>
    </row>
    <row r="28" spans="2:6">
      <c r="D28" s="343" t="s">
        <v>328</v>
      </c>
    </row>
  </sheetData>
  <mergeCells count="2">
    <mergeCell ref="B1:F1"/>
    <mergeCell ref="B12:E12"/>
  </mergeCells>
  <printOptions horizontalCentered="1"/>
  <pageMargins left="0.15" right="0.15" top="0.75" bottom="0.75" header="0.3" footer="0.3"/>
  <pageSetup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N99"/>
  <sheetViews>
    <sheetView workbookViewId="0">
      <selection activeCell="H62" sqref="H62"/>
    </sheetView>
  </sheetViews>
  <sheetFormatPr defaultRowHeight="12.75"/>
  <cols>
    <col min="1" max="1" width="6" style="46" customWidth="1"/>
    <col min="2" max="3" width="9.140625" style="46"/>
    <col min="4" max="4" width="16.5703125" style="46" customWidth="1"/>
    <col min="5" max="6" width="13.85546875" style="46" customWidth="1"/>
    <col min="7" max="7" width="10" style="46" customWidth="1"/>
    <col min="8" max="8" width="11.5703125" style="46" customWidth="1"/>
    <col min="9" max="9" width="11.42578125" style="46" customWidth="1"/>
    <col min="10" max="10" width="13.28515625" style="109" customWidth="1"/>
    <col min="11" max="11" width="15.7109375" style="46" customWidth="1"/>
    <col min="12" max="12" width="16.85546875" style="109" customWidth="1"/>
    <col min="13" max="13" width="17" style="109" customWidth="1"/>
    <col min="14" max="14" width="17" style="46" customWidth="1"/>
    <col min="15" max="16384" width="9.140625" style="46"/>
  </cols>
  <sheetData>
    <row r="1" spans="1:13">
      <c r="A1" s="47"/>
      <c r="B1" s="48"/>
      <c r="C1" s="48"/>
      <c r="D1" s="48"/>
      <c r="E1" s="48"/>
      <c r="F1" s="48"/>
      <c r="G1" s="48"/>
      <c r="H1" s="48"/>
      <c r="I1" s="48"/>
      <c r="J1" s="169" t="s">
        <v>81</v>
      </c>
    </row>
    <row r="2" spans="1:13">
      <c r="A2" s="389" t="s">
        <v>80</v>
      </c>
      <c r="B2" s="390"/>
      <c r="C2" s="390"/>
      <c r="D2" s="390"/>
      <c r="E2" s="390"/>
      <c r="F2" s="390"/>
      <c r="G2" s="390"/>
      <c r="H2" s="390"/>
      <c r="I2" s="390"/>
      <c r="J2" s="391"/>
    </row>
    <row r="3" spans="1:13">
      <c r="A3" s="389" t="s">
        <v>309</v>
      </c>
      <c r="B3" s="390"/>
      <c r="C3" s="390"/>
      <c r="D3" s="390"/>
      <c r="E3" s="390"/>
      <c r="F3" s="390"/>
      <c r="G3" s="390"/>
      <c r="H3" s="390"/>
      <c r="I3" s="390"/>
      <c r="J3" s="391"/>
    </row>
    <row r="4" spans="1:13">
      <c r="A4" s="389"/>
      <c r="B4" s="390"/>
      <c r="C4" s="390"/>
      <c r="D4" s="390"/>
      <c r="E4" s="390"/>
      <c r="F4" s="390"/>
      <c r="G4" s="390"/>
      <c r="H4" s="390"/>
      <c r="I4" s="390"/>
      <c r="J4" s="391"/>
    </row>
    <row r="5" spans="1:13">
      <c r="A5" s="54" t="s">
        <v>77</v>
      </c>
      <c r="B5" s="332"/>
      <c r="C5" s="332"/>
      <c r="D5" s="332"/>
      <c r="E5" s="332"/>
      <c r="F5" s="332"/>
      <c r="G5" s="332"/>
      <c r="H5" s="332"/>
      <c r="I5" s="332"/>
      <c r="J5" s="170"/>
    </row>
    <row r="6" spans="1:13">
      <c r="A6" s="54" t="s">
        <v>76</v>
      </c>
      <c r="B6" s="55"/>
      <c r="C6" s="55"/>
      <c r="D6" s="55"/>
      <c r="E6" s="55"/>
      <c r="F6" s="55"/>
      <c r="G6" s="55"/>
      <c r="H6" s="55" t="s">
        <v>278</v>
      </c>
      <c r="I6" s="55"/>
      <c r="J6" s="171"/>
      <c r="K6" s="46" t="s">
        <v>210</v>
      </c>
    </row>
    <row r="7" spans="1:13">
      <c r="A7" s="47"/>
      <c r="B7" s="48"/>
      <c r="C7" s="48"/>
      <c r="D7" s="49"/>
      <c r="E7" s="88" t="s">
        <v>8</v>
      </c>
      <c r="F7" s="50"/>
      <c r="G7" s="52"/>
      <c r="H7" s="52"/>
      <c r="I7" s="53"/>
      <c r="J7" s="110"/>
    </row>
    <row r="8" spans="1:13">
      <c r="A8" s="54"/>
      <c r="B8" s="55"/>
      <c r="C8" s="55"/>
      <c r="D8" s="56"/>
      <c r="E8" s="331" t="s">
        <v>9</v>
      </c>
      <c r="F8" s="53"/>
      <c r="G8" s="59"/>
      <c r="H8" s="59"/>
      <c r="I8" s="58"/>
      <c r="J8" s="111"/>
    </row>
    <row r="9" spans="1:13">
      <c r="A9" s="61" t="s">
        <v>68</v>
      </c>
      <c r="B9" s="55"/>
      <c r="C9" s="55"/>
      <c r="D9" s="56"/>
      <c r="E9" s="331" t="s">
        <v>10</v>
      </c>
      <c r="F9" s="60" t="s">
        <v>12</v>
      </c>
      <c r="G9" s="60" t="s">
        <v>14</v>
      </c>
      <c r="H9" s="60" t="s">
        <v>20</v>
      </c>
      <c r="I9" s="60" t="s">
        <v>22</v>
      </c>
      <c r="J9" s="112" t="s">
        <v>24</v>
      </c>
    </row>
    <row r="10" spans="1:13">
      <c r="A10" s="54"/>
      <c r="B10" s="55"/>
      <c r="C10" s="55"/>
      <c r="D10" s="56"/>
      <c r="E10" s="331" t="s">
        <v>11</v>
      </c>
      <c r="F10" s="60" t="s">
        <v>13</v>
      </c>
      <c r="G10" s="59"/>
      <c r="H10" s="60" t="s">
        <v>21</v>
      </c>
      <c r="I10" s="60" t="s">
        <v>23</v>
      </c>
      <c r="J10" s="111"/>
    </row>
    <row r="11" spans="1:13">
      <c r="A11" s="62"/>
      <c r="B11" s="63"/>
      <c r="C11" s="63"/>
      <c r="D11" s="64"/>
      <c r="E11" s="65">
        <v>0.3</v>
      </c>
      <c r="F11" s="66">
        <v>0.7</v>
      </c>
      <c r="G11" s="59"/>
      <c r="H11" s="67"/>
      <c r="I11" s="68"/>
      <c r="J11" s="113"/>
    </row>
    <row r="12" spans="1:13" ht="18" customHeight="1">
      <c r="A12" s="70" t="s">
        <v>0</v>
      </c>
      <c r="B12" s="71"/>
      <c r="C12" s="71"/>
      <c r="D12" s="72"/>
      <c r="E12" s="51"/>
      <c r="F12" s="51"/>
      <c r="G12" s="51"/>
      <c r="H12" s="51"/>
      <c r="I12" s="51"/>
      <c r="J12" s="110"/>
      <c r="L12" s="330" t="s">
        <v>90</v>
      </c>
      <c r="M12" s="330" t="s">
        <v>89</v>
      </c>
    </row>
    <row r="13" spans="1:13" ht="18" customHeight="1">
      <c r="A13" s="73" t="s">
        <v>1</v>
      </c>
      <c r="B13" s="72"/>
      <c r="C13" s="72"/>
      <c r="D13" s="72"/>
      <c r="E13" s="94">
        <f>M19*0.3</f>
        <v>748968.83805000002</v>
      </c>
      <c r="F13" s="94">
        <f>M19*0.7</f>
        <v>1747593.95545</v>
      </c>
      <c r="G13" s="94"/>
      <c r="H13" s="94"/>
      <c r="I13" s="94"/>
      <c r="J13" s="114">
        <f>SUM(E13:I13)</f>
        <v>2496562.7935000001</v>
      </c>
      <c r="K13" s="175" t="e">
        <f>SUM(J13+#REF!+#REF!+#REF!+#REF!+#REF!+#REF!+#REF!+#REF!+#REF!+#REF!+#REF!)</f>
        <v>#REF!</v>
      </c>
      <c r="L13" s="109">
        <v>21367644.399999999</v>
      </c>
      <c r="M13" s="109">
        <v>4171566.4</v>
      </c>
    </row>
    <row r="14" spans="1:13" ht="18" customHeight="1">
      <c r="A14" s="73" t="s">
        <v>2</v>
      </c>
      <c r="B14" s="72"/>
      <c r="C14" s="72"/>
      <c r="D14" s="72"/>
      <c r="E14" s="102"/>
      <c r="F14" s="102"/>
      <c r="G14" s="102"/>
      <c r="H14" s="102"/>
      <c r="I14" s="102"/>
      <c r="J14" s="110"/>
      <c r="K14" s="117" t="s">
        <v>88</v>
      </c>
      <c r="L14" s="109">
        <v>9400000</v>
      </c>
      <c r="M14" s="109">
        <v>5637398.9699999997</v>
      </c>
    </row>
    <row r="15" spans="1:13" ht="18" customHeight="1">
      <c r="A15" s="75" t="s">
        <v>3</v>
      </c>
      <c r="B15" s="48"/>
      <c r="C15" s="48"/>
      <c r="D15" s="48"/>
      <c r="E15" s="102"/>
      <c r="F15" s="102"/>
      <c r="G15" s="102"/>
      <c r="H15" s="102"/>
      <c r="I15" s="102"/>
      <c r="J15" s="110"/>
      <c r="L15" s="116">
        <f>SUM(L13:L14)</f>
        <v>30767644.399999999</v>
      </c>
      <c r="M15" s="116">
        <f>SUM(M13:M14)</f>
        <v>9808965.3699999992</v>
      </c>
    </row>
    <row r="16" spans="1:13" ht="18" customHeight="1">
      <c r="A16" s="76" t="s">
        <v>78</v>
      </c>
      <c r="B16" s="55"/>
      <c r="C16" s="55"/>
      <c r="D16" s="55"/>
      <c r="E16" s="103"/>
      <c r="F16" s="103"/>
      <c r="G16" s="103"/>
      <c r="H16" s="103"/>
      <c r="I16" s="103"/>
      <c r="J16" s="113"/>
      <c r="K16" s="46">
        <v>11930281.960000001</v>
      </c>
    </row>
    <row r="17" spans="1:14" ht="18" customHeight="1">
      <c r="A17" s="77" t="s">
        <v>79</v>
      </c>
      <c r="B17" s="72"/>
      <c r="C17" s="72"/>
      <c r="D17" s="72"/>
      <c r="E17" s="94"/>
      <c r="F17" s="94"/>
      <c r="G17" s="94"/>
      <c r="H17" s="94"/>
      <c r="I17" s="94"/>
      <c r="J17" s="113">
        <f>SUM(E17:I17)</f>
        <v>0</v>
      </c>
      <c r="K17" s="173">
        <f>K16-J16</f>
        <v>11930281.960000001</v>
      </c>
      <c r="M17" s="109">
        <v>25936573.030000001</v>
      </c>
    </row>
    <row r="18" spans="1:14" ht="18" customHeight="1">
      <c r="A18" s="70" t="s">
        <v>7</v>
      </c>
      <c r="B18" s="72"/>
      <c r="C18" s="72"/>
      <c r="D18" s="72"/>
      <c r="E18" s="119">
        <f>SUM(E13:E17)</f>
        <v>748968.83805000002</v>
      </c>
      <c r="F18" s="119">
        <f t="shared" ref="F18:J18" si="0">SUM(F13:F17)</f>
        <v>1747593.95545</v>
      </c>
      <c r="G18" s="119">
        <f t="shared" si="0"/>
        <v>0</v>
      </c>
      <c r="H18" s="119">
        <f t="shared" si="0"/>
        <v>0</v>
      </c>
      <c r="I18" s="119">
        <f t="shared" si="0"/>
        <v>0</v>
      </c>
      <c r="J18" s="305">
        <f t="shared" si="0"/>
        <v>2496562.7935000001</v>
      </c>
      <c r="K18" s="166">
        <f t="shared" ref="K18:K45" si="1">SUM(E18:I18)</f>
        <v>2496562.7935000001</v>
      </c>
      <c r="L18" s="193" t="s">
        <v>171</v>
      </c>
      <c r="M18" s="192">
        <f>728270582.66-678339326.79</f>
        <v>49931255.870000005</v>
      </c>
    </row>
    <row r="19" spans="1:14" s="109" customFormat="1" ht="18" customHeight="1">
      <c r="A19" s="74" t="s">
        <v>99</v>
      </c>
      <c r="B19" s="72" t="s">
        <v>100</v>
      </c>
      <c r="C19" s="72"/>
      <c r="D19" s="72"/>
      <c r="E19" s="94">
        <f>SUM('DRRM Funds -Nov''16'!E46)</f>
        <v>31869188.041850001</v>
      </c>
      <c r="F19" s="94">
        <f>SUM('DRRM Funds -Nov''16'!F46)</f>
        <v>31791730.227650002</v>
      </c>
      <c r="G19" s="94">
        <f>SUM('DRRM Funds -Nov''16'!G46)</f>
        <v>0</v>
      </c>
      <c r="H19" s="94">
        <f>SUM('DRRM Funds -Nov''16'!H46)</f>
        <v>0</v>
      </c>
      <c r="I19" s="94">
        <f>SUM('DRRM Funds -Nov''16'!I46)</f>
        <v>0</v>
      </c>
      <c r="J19" s="94">
        <f>SUM('DRRM Funds -Nov''16'!J46)</f>
        <v>63660918.269499995</v>
      </c>
      <c r="K19" s="166">
        <f t="shared" si="1"/>
        <v>63660918.269500002</v>
      </c>
      <c r="L19" s="194">
        <v>0.05</v>
      </c>
      <c r="M19" s="269">
        <f>M18*0.05</f>
        <v>2496562.7935000001</v>
      </c>
    </row>
    <row r="20" spans="1:14" s="109" customFormat="1" ht="18" customHeight="1">
      <c r="A20" s="70" t="s">
        <v>101</v>
      </c>
      <c r="B20" s="122"/>
      <c r="C20" s="72"/>
      <c r="D20" s="72"/>
      <c r="E20" s="119">
        <f>SUM(E18:E19)</f>
        <v>32618156.879900001</v>
      </c>
      <c r="F20" s="119">
        <f t="shared" ref="F20:J20" si="2">SUM(F18:F19)</f>
        <v>33539324.1831</v>
      </c>
      <c r="G20" s="119">
        <f t="shared" si="2"/>
        <v>0</v>
      </c>
      <c r="H20" s="119">
        <f t="shared" si="2"/>
        <v>0</v>
      </c>
      <c r="I20" s="119">
        <f t="shared" si="2"/>
        <v>0</v>
      </c>
      <c r="J20" s="119">
        <f t="shared" si="2"/>
        <v>66157481.062999994</v>
      </c>
      <c r="K20" s="166">
        <f t="shared" si="1"/>
        <v>66157481.063000001</v>
      </c>
    </row>
    <row r="21" spans="1:14" ht="18" customHeight="1">
      <c r="A21" s="70" t="s">
        <v>15</v>
      </c>
      <c r="B21" s="72"/>
      <c r="C21" s="72"/>
      <c r="D21" s="72"/>
      <c r="E21" s="94"/>
      <c r="F21" s="94"/>
      <c r="G21" s="94"/>
      <c r="H21" s="94"/>
      <c r="I21" s="94"/>
      <c r="J21" s="114"/>
      <c r="K21" s="166">
        <f t="shared" si="1"/>
        <v>0</v>
      </c>
      <c r="M21" s="109">
        <v>26972032.48</v>
      </c>
    </row>
    <row r="22" spans="1:14" ht="18" customHeight="1">
      <c r="A22" s="77" t="s">
        <v>206</v>
      </c>
      <c r="B22" s="263"/>
      <c r="C22" s="263"/>
      <c r="D22" s="263"/>
      <c r="E22" s="94"/>
      <c r="F22" s="94"/>
      <c r="G22" s="94"/>
      <c r="H22" s="94"/>
      <c r="I22" s="94"/>
      <c r="J22" s="114">
        <f>SUM(E22:I22)</f>
        <v>0</v>
      </c>
      <c r="K22" s="166"/>
    </row>
    <row r="23" spans="1:14" ht="18" customHeight="1">
      <c r="A23" s="77" t="s">
        <v>251</v>
      </c>
      <c r="B23" s="263"/>
      <c r="C23" s="263"/>
      <c r="D23" s="263"/>
      <c r="E23" s="94"/>
      <c r="F23" s="94"/>
      <c r="G23" s="94"/>
      <c r="H23" s="94"/>
      <c r="I23" s="94"/>
      <c r="J23" s="114">
        <f t="shared" ref="J23:J42" si="3">SUM(E23:I23)</f>
        <v>0</v>
      </c>
      <c r="K23" s="166">
        <f t="shared" si="1"/>
        <v>0</v>
      </c>
      <c r="L23" s="176">
        <f>518731460.56*0.05</f>
        <v>25936573.028000001</v>
      </c>
      <c r="M23" s="109">
        <v>125607.13</v>
      </c>
    </row>
    <row r="24" spans="1:14" ht="18" customHeight="1">
      <c r="A24" s="290" t="s">
        <v>229</v>
      </c>
      <c r="B24" s="291"/>
      <c r="C24" s="291"/>
      <c r="D24" s="291"/>
      <c r="E24" s="292"/>
      <c r="F24" s="292"/>
      <c r="G24" s="292"/>
      <c r="H24" s="292"/>
      <c r="I24" s="292"/>
      <c r="J24" s="114">
        <f t="shared" si="3"/>
        <v>0</v>
      </c>
      <c r="K24" s="166"/>
      <c r="L24" s="228"/>
    </row>
    <row r="25" spans="1:14" ht="18" customHeight="1">
      <c r="A25" s="290" t="s">
        <v>252</v>
      </c>
      <c r="B25" s="291"/>
      <c r="C25" s="291"/>
      <c r="D25" s="291"/>
      <c r="E25" s="292"/>
      <c r="F25" s="292">
        <v>16510</v>
      </c>
      <c r="G25" s="292"/>
      <c r="H25" s="292"/>
      <c r="I25" s="292"/>
      <c r="J25" s="114">
        <f t="shared" si="3"/>
        <v>16510</v>
      </c>
      <c r="K25" s="166">
        <f t="shared" si="1"/>
        <v>16510</v>
      </c>
      <c r="M25" s="232" t="s">
        <v>236</v>
      </c>
    </row>
    <row r="26" spans="1:14" ht="18" customHeight="1">
      <c r="A26" s="290" t="s">
        <v>276</v>
      </c>
      <c r="B26" s="291"/>
      <c r="C26" s="291"/>
      <c r="D26" s="291"/>
      <c r="E26" s="292"/>
      <c r="F26" s="292">
        <v>866660.83</v>
      </c>
      <c r="G26" s="292"/>
      <c r="H26" s="292"/>
      <c r="I26" s="292"/>
      <c r="J26" s="114">
        <f t="shared" si="3"/>
        <v>866660.83</v>
      </c>
      <c r="K26" s="166">
        <f t="shared" si="1"/>
        <v>866660.83</v>
      </c>
      <c r="M26" s="229">
        <v>275607.13</v>
      </c>
      <c r="N26" s="46" t="s">
        <v>230</v>
      </c>
    </row>
    <row r="27" spans="1:14" ht="18" customHeight="1">
      <c r="A27" s="293" t="s">
        <v>275</v>
      </c>
      <c r="B27" s="291"/>
      <c r="C27" s="291"/>
      <c r="D27" s="291"/>
      <c r="E27" s="292"/>
      <c r="F27" s="292">
        <v>112428.62</v>
      </c>
      <c r="G27" s="292"/>
      <c r="H27" s="292"/>
      <c r="I27" s="292"/>
      <c r="J27" s="114">
        <f t="shared" si="3"/>
        <v>112428.62</v>
      </c>
      <c r="K27" s="166">
        <f t="shared" si="1"/>
        <v>112428.62</v>
      </c>
      <c r="M27" s="229">
        <v>695000</v>
      </c>
      <c r="N27" s="46" t="s">
        <v>232</v>
      </c>
    </row>
    <row r="28" spans="1:14" ht="18" customHeight="1">
      <c r="A28" s="290" t="s">
        <v>274</v>
      </c>
      <c r="B28" s="291"/>
      <c r="C28" s="291"/>
      <c r="D28" s="291"/>
      <c r="E28" s="292"/>
      <c r="F28" s="292"/>
      <c r="G28" s="292"/>
      <c r="H28" s="292"/>
      <c r="I28" s="292"/>
      <c r="J28" s="114">
        <f t="shared" si="3"/>
        <v>0</v>
      </c>
      <c r="K28" s="166">
        <f t="shared" si="1"/>
        <v>0</v>
      </c>
      <c r="M28" s="229">
        <v>1470000</v>
      </c>
      <c r="N28" s="46" t="s">
        <v>233</v>
      </c>
    </row>
    <row r="29" spans="1:14" ht="18" customHeight="1">
      <c r="A29" s="290" t="s">
        <v>227</v>
      </c>
      <c r="B29" s="291"/>
      <c r="C29" s="291"/>
      <c r="D29" s="291"/>
      <c r="E29" s="292"/>
      <c r="F29" s="292">
        <v>7954388.7999999998</v>
      </c>
      <c r="G29" s="292"/>
      <c r="H29" s="292"/>
      <c r="I29" s="292"/>
      <c r="J29" s="114">
        <f t="shared" si="3"/>
        <v>7954388.7999999998</v>
      </c>
      <c r="K29" s="166">
        <f t="shared" si="1"/>
        <v>7954388.7999999998</v>
      </c>
      <c r="L29" s="333"/>
      <c r="M29" s="229">
        <v>3071228.76</v>
      </c>
      <c r="N29" s="46" t="s">
        <v>231</v>
      </c>
    </row>
    <row r="30" spans="1:14" ht="18" customHeight="1">
      <c r="A30" s="290" t="s">
        <v>273</v>
      </c>
      <c r="B30" s="291"/>
      <c r="C30" s="291"/>
      <c r="D30" s="291"/>
      <c r="E30" s="292"/>
      <c r="F30" s="292"/>
      <c r="G30" s="292"/>
      <c r="H30" s="292"/>
      <c r="I30" s="292"/>
      <c r="J30" s="114">
        <f t="shared" si="3"/>
        <v>0</v>
      </c>
      <c r="K30" s="166"/>
      <c r="L30" s="333"/>
      <c r="M30" s="229">
        <v>5009130</v>
      </c>
      <c r="N30" s="46" t="s">
        <v>234</v>
      </c>
    </row>
    <row r="31" spans="1:14" ht="18" customHeight="1">
      <c r="A31" s="290" t="s">
        <v>213</v>
      </c>
      <c r="B31" s="291"/>
      <c r="C31" s="291"/>
      <c r="D31" s="291"/>
      <c r="E31" s="292"/>
      <c r="F31" s="292"/>
      <c r="G31" s="292"/>
      <c r="H31" s="292"/>
      <c r="I31" s="292"/>
      <c r="J31" s="114">
        <f t="shared" si="3"/>
        <v>0</v>
      </c>
      <c r="K31" s="166"/>
      <c r="L31" s="333"/>
      <c r="M31" s="230">
        <v>1900100</v>
      </c>
      <c r="N31" s="46" t="s">
        <v>235</v>
      </c>
    </row>
    <row r="32" spans="1:14" ht="18" customHeight="1">
      <c r="A32" s="290" t="s">
        <v>250</v>
      </c>
      <c r="B32" s="291"/>
      <c r="C32" s="291"/>
      <c r="D32" s="291"/>
      <c r="E32" s="292"/>
      <c r="F32" s="292"/>
      <c r="G32" s="292"/>
      <c r="H32" s="292"/>
      <c r="I32" s="292"/>
      <c r="J32" s="114">
        <f t="shared" si="3"/>
        <v>0</v>
      </c>
      <c r="K32" s="166"/>
      <c r="L32" s="333"/>
      <c r="M32" s="289">
        <f>SUM(M26:M31)</f>
        <v>12421065.890000001</v>
      </c>
    </row>
    <row r="33" spans="1:13" ht="18" customHeight="1">
      <c r="A33" s="290" t="s">
        <v>214</v>
      </c>
      <c r="B33" s="291"/>
      <c r="C33" s="291"/>
      <c r="D33" s="291"/>
      <c r="E33" s="292"/>
      <c r="F33" s="292"/>
      <c r="G33" s="292"/>
      <c r="H33" s="292"/>
      <c r="I33" s="292"/>
      <c r="J33" s="114">
        <f t="shared" si="3"/>
        <v>0</v>
      </c>
      <c r="K33" s="227"/>
      <c r="L33" s="333"/>
    </row>
    <row r="34" spans="1:13" ht="18" customHeight="1">
      <c r="A34" s="290" t="s">
        <v>249</v>
      </c>
      <c r="B34" s="291"/>
      <c r="C34" s="291"/>
      <c r="D34" s="291"/>
      <c r="E34" s="292"/>
      <c r="F34" s="292"/>
      <c r="G34" s="292"/>
      <c r="H34" s="292"/>
      <c r="I34" s="292"/>
      <c r="J34" s="114">
        <f t="shared" si="3"/>
        <v>0</v>
      </c>
      <c r="K34" s="265"/>
      <c r="L34" s="333"/>
    </row>
    <row r="35" spans="1:13" ht="18" customHeight="1">
      <c r="A35" s="290" t="s">
        <v>222</v>
      </c>
      <c r="B35" s="291"/>
      <c r="C35" s="291"/>
      <c r="D35" s="291"/>
      <c r="E35" s="292"/>
      <c r="F35" s="292"/>
      <c r="G35" s="292"/>
      <c r="H35" s="292"/>
      <c r="I35" s="292"/>
      <c r="J35" s="114">
        <f t="shared" si="3"/>
        <v>0</v>
      </c>
      <c r="K35" s="266">
        <f t="shared" si="1"/>
        <v>0</v>
      </c>
      <c r="L35" s="109">
        <f>SUM(F29:F35)</f>
        <v>7954388.7999999998</v>
      </c>
    </row>
    <row r="36" spans="1:13" ht="18" customHeight="1">
      <c r="A36" s="290" t="s">
        <v>223</v>
      </c>
      <c r="B36" s="291"/>
      <c r="C36" s="291"/>
      <c r="D36" s="291"/>
      <c r="E36" s="292"/>
      <c r="F36" s="292"/>
      <c r="G36" s="292"/>
      <c r="H36" s="292"/>
      <c r="I36" s="292"/>
      <c r="J36" s="114">
        <f t="shared" si="3"/>
        <v>0</v>
      </c>
      <c r="K36" s="166">
        <f t="shared" si="1"/>
        <v>0</v>
      </c>
      <c r="L36" s="109">
        <v>147060</v>
      </c>
    </row>
    <row r="37" spans="1:13" ht="18" customHeight="1">
      <c r="A37" s="290" t="s">
        <v>168</v>
      </c>
      <c r="B37" s="291"/>
      <c r="C37" s="291"/>
      <c r="D37" s="291"/>
      <c r="E37" s="292"/>
      <c r="F37" s="292"/>
      <c r="G37" s="292"/>
      <c r="H37" s="292"/>
      <c r="I37" s="292"/>
      <c r="J37" s="114">
        <f t="shared" si="3"/>
        <v>0</v>
      </c>
      <c r="K37" s="166">
        <f t="shared" si="1"/>
        <v>0</v>
      </c>
    </row>
    <row r="38" spans="1:13" ht="18" customHeight="1">
      <c r="A38" s="290" t="s">
        <v>293</v>
      </c>
      <c r="B38" s="291"/>
      <c r="C38" s="291"/>
      <c r="D38" s="291"/>
      <c r="E38" s="292"/>
      <c r="F38" s="292"/>
      <c r="G38" s="292"/>
      <c r="H38" s="292"/>
      <c r="I38" s="292"/>
      <c r="J38" s="114">
        <f t="shared" si="3"/>
        <v>0</v>
      </c>
      <c r="K38" s="166">
        <f t="shared" si="1"/>
        <v>0</v>
      </c>
      <c r="L38" s="109">
        <v>1555500</v>
      </c>
    </row>
    <row r="39" spans="1:13" ht="18" customHeight="1">
      <c r="A39" s="290" t="s">
        <v>207</v>
      </c>
      <c r="B39" s="291"/>
      <c r="C39" s="291"/>
      <c r="D39" s="291"/>
      <c r="E39" s="292"/>
      <c r="F39" s="292"/>
      <c r="G39" s="292"/>
      <c r="H39" s="292"/>
      <c r="I39" s="292"/>
      <c r="J39" s="114">
        <f t="shared" si="3"/>
        <v>0</v>
      </c>
      <c r="K39" s="166"/>
    </row>
    <row r="40" spans="1:13" ht="18" customHeight="1">
      <c r="A40" s="83" t="s">
        <v>94</v>
      </c>
      <c r="B40" s="263"/>
      <c r="C40" s="263"/>
      <c r="D40" s="263"/>
      <c r="E40" s="94"/>
      <c r="F40" s="94"/>
      <c r="G40" s="94"/>
      <c r="H40" s="94"/>
      <c r="I40" s="94"/>
      <c r="J40" s="114">
        <f t="shared" si="3"/>
        <v>0</v>
      </c>
      <c r="K40" s="166">
        <f t="shared" si="1"/>
        <v>0</v>
      </c>
      <c r="L40" s="109">
        <v>177000</v>
      </c>
    </row>
    <row r="41" spans="1:13" ht="18" customHeight="1">
      <c r="A41" s="83" t="s">
        <v>95</v>
      </c>
      <c r="B41" s="263"/>
      <c r="C41" s="263"/>
      <c r="D41" s="263"/>
      <c r="E41" s="94"/>
      <c r="F41" s="94"/>
      <c r="G41" s="94"/>
      <c r="H41" s="94"/>
      <c r="I41" s="94"/>
      <c r="J41" s="114">
        <f t="shared" si="3"/>
        <v>0</v>
      </c>
      <c r="K41" s="166">
        <f t="shared" si="1"/>
        <v>0</v>
      </c>
      <c r="L41" s="109">
        <v>204055</v>
      </c>
    </row>
    <row r="42" spans="1:13" ht="18" customHeight="1">
      <c r="A42" s="77" t="s">
        <v>96</v>
      </c>
      <c r="B42" s="263"/>
      <c r="C42" s="263"/>
      <c r="D42" s="263"/>
      <c r="E42" s="94"/>
      <c r="F42" s="102"/>
      <c r="G42" s="94"/>
      <c r="H42" s="94"/>
      <c r="I42" s="94"/>
      <c r="J42" s="114">
        <f t="shared" si="3"/>
        <v>0</v>
      </c>
      <c r="K42" s="166">
        <f t="shared" si="1"/>
        <v>0</v>
      </c>
      <c r="L42" s="109">
        <v>71070</v>
      </c>
    </row>
    <row r="43" spans="1:13" ht="18" customHeight="1">
      <c r="A43" s="84" t="s">
        <v>92</v>
      </c>
      <c r="B43" s="63"/>
      <c r="C43" s="63"/>
      <c r="D43" s="63"/>
      <c r="E43" s="89">
        <f>SUM(E22:E42)</f>
        <v>0</v>
      </c>
      <c r="F43" s="303">
        <f>SUM(F22:F42)</f>
        <v>8949988.25</v>
      </c>
      <c r="G43" s="304">
        <f>SUM(G22:G42)</f>
        <v>0</v>
      </c>
      <c r="H43" s="94">
        <f t="shared" ref="H43:J43" si="4">SUM(H22:H42)</f>
        <v>0</v>
      </c>
      <c r="I43" s="94">
        <f t="shared" si="4"/>
        <v>0</v>
      </c>
      <c r="J43" s="292">
        <f t="shared" si="4"/>
        <v>8949988.25</v>
      </c>
      <c r="K43" s="166">
        <f t="shared" si="1"/>
        <v>8949988.25</v>
      </c>
      <c r="L43" s="109">
        <v>27800</v>
      </c>
      <c r="M43" s="46"/>
    </row>
    <row r="44" spans="1:13" ht="18" customHeight="1">
      <c r="A44" s="84" t="s">
        <v>103</v>
      </c>
      <c r="B44" s="63"/>
      <c r="C44" s="63"/>
      <c r="D44" s="63"/>
      <c r="E44" s="103">
        <f>SUM('DRRM Funds -Nov''16'!E45)</f>
        <v>0</v>
      </c>
      <c r="F44" s="103">
        <f>SUM('DRRM Funds -Nov''16'!F45)</f>
        <v>12042088.189999999</v>
      </c>
      <c r="G44" s="103">
        <f>SUM('DRRM Funds -Nov''16'!G45)</f>
        <v>0</v>
      </c>
      <c r="H44" s="103">
        <f>SUM('DRRM Funds -Nov''16'!H45)</f>
        <v>0</v>
      </c>
      <c r="I44" s="103">
        <f>SUM('DRRM Funds -Nov''16'!I45)</f>
        <v>0</v>
      </c>
      <c r="J44" s="103">
        <f>SUM('DRRM Funds -Nov''16'!J45)</f>
        <v>12042088.189999999</v>
      </c>
      <c r="K44" s="166">
        <f t="shared" si="1"/>
        <v>12042088.189999999</v>
      </c>
      <c r="L44" s="109">
        <v>126865</v>
      </c>
      <c r="M44" s="109">
        <f>SUM(E44:H44)</f>
        <v>12042088.189999999</v>
      </c>
    </row>
    <row r="45" spans="1:13" ht="18" customHeight="1">
      <c r="A45" s="84" t="s">
        <v>104</v>
      </c>
      <c r="B45" s="63"/>
      <c r="C45" s="63"/>
      <c r="D45" s="63"/>
      <c r="E45" s="103">
        <f>SUM(E43:E44)</f>
        <v>0</v>
      </c>
      <c r="F45" s="103">
        <f t="shared" ref="F45:J45" si="5">SUM(F43:F44)</f>
        <v>20992076.439999998</v>
      </c>
      <c r="G45" s="103">
        <f t="shared" si="5"/>
        <v>0</v>
      </c>
      <c r="H45" s="103">
        <f t="shared" si="5"/>
        <v>0</v>
      </c>
      <c r="I45" s="103">
        <f t="shared" si="5"/>
        <v>0</v>
      </c>
      <c r="J45" s="103">
        <f t="shared" si="5"/>
        <v>20992076.439999998</v>
      </c>
      <c r="K45" s="166">
        <f t="shared" si="1"/>
        <v>20992076.439999998</v>
      </c>
      <c r="L45" s="174">
        <f>SUM(L35:L44)</f>
        <v>10263738.800000001</v>
      </c>
      <c r="M45" s="109">
        <v>10492358.970000001</v>
      </c>
    </row>
    <row r="46" spans="1:13" ht="18" customHeight="1">
      <c r="A46" s="70" t="s">
        <v>93</v>
      </c>
      <c r="B46" s="72"/>
      <c r="C46" s="72"/>
      <c r="D46" s="80"/>
      <c r="E46" s="231">
        <f t="shared" ref="E46:J46" si="6">E20-E43</f>
        <v>32618156.879900001</v>
      </c>
      <c r="F46" s="231">
        <f t="shared" si="6"/>
        <v>24589335.9331</v>
      </c>
      <c r="G46" s="231">
        <f>G20-G43</f>
        <v>0</v>
      </c>
      <c r="H46" s="231">
        <f t="shared" si="6"/>
        <v>0</v>
      </c>
      <c r="I46" s="231">
        <f t="shared" si="6"/>
        <v>0</v>
      </c>
      <c r="J46" s="231">
        <f t="shared" si="6"/>
        <v>57207492.812999994</v>
      </c>
      <c r="K46" s="166">
        <f>SUM(E46:I46)</f>
        <v>57207492.813000001</v>
      </c>
      <c r="L46" s="46"/>
      <c r="M46" s="109">
        <f>M45-L45</f>
        <v>228620.16999999993</v>
      </c>
    </row>
    <row r="47" spans="1:13" ht="18" customHeight="1">
      <c r="A47" s="55"/>
      <c r="B47" s="55"/>
      <c r="C47" s="55"/>
      <c r="D47" s="55"/>
      <c r="E47" s="55"/>
      <c r="F47" s="55"/>
      <c r="G47" s="55"/>
      <c r="H47" s="55"/>
      <c r="I47" s="55"/>
      <c r="J47" s="115" t="s">
        <v>74</v>
      </c>
      <c r="K47" s="92">
        <f>SUM(E46:F46)</f>
        <v>57207492.813000001</v>
      </c>
      <c r="M47" s="109">
        <v>0</v>
      </c>
    </row>
    <row r="48" spans="1:13">
      <c r="A48" s="55" t="s">
        <v>83</v>
      </c>
      <c r="B48" s="55"/>
      <c r="C48" s="55"/>
      <c r="D48" s="55"/>
      <c r="E48" s="55"/>
      <c r="F48" s="55"/>
      <c r="G48" s="55"/>
      <c r="H48" s="55" t="s">
        <v>29</v>
      </c>
      <c r="I48" s="55"/>
      <c r="J48" s="115"/>
      <c r="K48" s="55"/>
      <c r="L48" s="109">
        <v>752760</v>
      </c>
    </row>
    <row r="49" spans="1:13">
      <c r="A49" s="55"/>
      <c r="B49" s="55"/>
      <c r="C49" s="55"/>
      <c r="D49" s="55"/>
      <c r="E49" s="55"/>
      <c r="F49" s="55"/>
      <c r="G49" s="55"/>
      <c r="H49" s="55"/>
      <c r="I49" s="55"/>
      <c r="J49" s="115"/>
      <c r="K49" s="55"/>
      <c r="L49" s="109">
        <v>902075</v>
      </c>
    </row>
    <row r="50" spans="1:13">
      <c r="A50" s="82" t="s">
        <v>202</v>
      </c>
      <c r="B50" s="55"/>
      <c r="C50" s="55"/>
      <c r="D50" s="55"/>
      <c r="E50" s="55"/>
      <c r="F50" s="55"/>
      <c r="G50" s="55"/>
      <c r="H50" s="241" t="s">
        <v>72</v>
      </c>
      <c r="I50" s="55"/>
      <c r="J50" s="115"/>
      <c r="K50" s="55"/>
      <c r="L50" s="109">
        <v>504234.65</v>
      </c>
      <c r="M50" s="109">
        <v>8736531.7100000009</v>
      </c>
    </row>
    <row r="51" spans="1:13">
      <c r="A51" s="140" t="s">
        <v>287</v>
      </c>
      <c r="B51" s="55"/>
      <c r="C51" s="55"/>
      <c r="D51" s="55"/>
      <c r="E51" s="55"/>
      <c r="F51" s="55"/>
      <c r="G51" s="55"/>
      <c r="H51" s="140" t="s">
        <v>85</v>
      </c>
      <c r="I51" s="55"/>
      <c r="J51" s="115"/>
      <c r="K51" s="55"/>
      <c r="L51" s="109">
        <v>899145</v>
      </c>
      <c r="M51" s="109">
        <v>10140</v>
      </c>
    </row>
    <row r="52" spans="1:13">
      <c r="A52" s="55"/>
      <c r="B52" s="55"/>
      <c r="C52" s="55"/>
      <c r="D52" s="55"/>
      <c r="E52" s="121" t="s">
        <v>237</v>
      </c>
      <c r="F52" s="55"/>
      <c r="G52" s="55"/>
      <c r="H52" s="55"/>
      <c r="I52" s="55"/>
      <c r="J52" s="115"/>
      <c r="K52" s="55"/>
      <c r="L52" s="109">
        <v>1087927.3999999999</v>
      </c>
      <c r="M52" s="109">
        <f>SUM(M50:M51)</f>
        <v>8746671.7100000009</v>
      </c>
    </row>
    <row r="53" spans="1:13">
      <c r="A53" s="55"/>
      <c r="B53" s="55"/>
      <c r="C53" s="55"/>
      <c r="D53" s="55"/>
      <c r="E53" s="115"/>
      <c r="F53" s="55"/>
      <c r="G53" s="55"/>
      <c r="H53" s="55"/>
      <c r="I53" s="115"/>
      <c r="J53" s="115"/>
      <c r="K53" s="55"/>
      <c r="L53" s="109">
        <v>2896515.5</v>
      </c>
    </row>
    <row r="54" spans="1:13">
      <c r="A54" s="55"/>
      <c r="B54" s="55"/>
      <c r="C54" s="55"/>
      <c r="D54" s="55"/>
      <c r="E54" s="82" t="s">
        <v>298</v>
      </c>
      <c r="F54" s="55"/>
      <c r="G54" s="55"/>
      <c r="H54" s="55"/>
      <c r="I54" s="115"/>
      <c r="J54" s="115"/>
      <c r="K54" s="55"/>
    </row>
    <row r="55" spans="1:13">
      <c r="A55" s="55"/>
      <c r="B55" s="55"/>
      <c r="C55" s="55"/>
      <c r="D55" s="55"/>
      <c r="E55" s="55" t="s">
        <v>299</v>
      </c>
      <c r="F55" s="55"/>
      <c r="G55" s="55"/>
      <c r="H55" s="55"/>
      <c r="I55" s="115"/>
      <c r="J55" s="115"/>
      <c r="K55" s="55"/>
      <c r="L55" s="109">
        <v>120000</v>
      </c>
    </row>
    <row r="56" spans="1:13">
      <c r="I56" s="109"/>
      <c r="M56" s="46"/>
    </row>
    <row r="57" spans="1:13">
      <c r="F57" s="121"/>
      <c r="I57" s="109"/>
      <c r="K57" s="55"/>
      <c r="L57" s="115">
        <v>630000</v>
      </c>
      <c r="M57" s="183">
        <v>10644424.82</v>
      </c>
    </row>
    <row r="58" spans="1:13">
      <c r="B58" s="276" t="s">
        <v>236</v>
      </c>
      <c r="F58" s="115"/>
      <c r="I58" s="109"/>
      <c r="J58" s="109">
        <v>7850000</v>
      </c>
      <c r="L58" s="109">
        <v>1000000</v>
      </c>
      <c r="M58" s="183">
        <v>13157941.960000001</v>
      </c>
    </row>
    <row r="59" spans="1:13">
      <c r="I59" s="109"/>
      <c r="J59" s="109">
        <v>800000</v>
      </c>
      <c r="L59" s="109">
        <v>1300000</v>
      </c>
      <c r="M59" s="184">
        <v>0</v>
      </c>
    </row>
    <row r="60" spans="1:13">
      <c r="A60" s="46" t="s">
        <v>282</v>
      </c>
      <c r="B60" s="392">
        <f>1493800+99900</f>
        <v>1593700</v>
      </c>
      <c r="C60" s="392"/>
      <c r="I60" s="109"/>
      <c r="J60" s="109">
        <v>1200000</v>
      </c>
      <c r="L60" s="109">
        <v>2000000</v>
      </c>
      <c r="M60" s="183">
        <f>SUM(M57:M59)</f>
        <v>23802366.780000001</v>
      </c>
    </row>
    <row r="61" spans="1:13">
      <c r="A61" s="46" t="s">
        <v>281</v>
      </c>
      <c r="B61" s="392">
        <v>1400000</v>
      </c>
      <c r="C61" s="392"/>
      <c r="I61" s="109"/>
      <c r="J61" s="109">
        <v>3500000</v>
      </c>
      <c r="L61" s="109">
        <v>150000</v>
      </c>
      <c r="M61" s="183">
        <v>24092226.780000001</v>
      </c>
    </row>
    <row r="62" spans="1:13">
      <c r="A62" s="46" t="s">
        <v>258</v>
      </c>
      <c r="B62" s="393">
        <v>1975000</v>
      </c>
      <c r="C62" s="393"/>
      <c r="I62" s="109">
        <v>100000</v>
      </c>
      <c r="J62" s="116">
        <f>SUM(J58:J61)</f>
        <v>13350000</v>
      </c>
      <c r="L62" s="109">
        <v>4590281.96</v>
      </c>
      <c r="M62" s="183">
        <f>M61-M60</f>
        <v>289860</v>
      </c>
    </row>
    <row r="63" spans="1:13">
      <c r="A63" s="46" t="s">
        <v>283</v>
      </c>
      <c r="B63" s="387">
        <v>1214184.3500000001</v>
      </c>
      <c r="C63" s="387"/>
      <c r="I63" s="109">
        <v>4589687.1100000003</v>
      </c>
      <c r="J63" s="109">
        <v>16829861.079999998</v>
      </c>
      <c r="L63" s="109">
        <f>SUM(L57:L62)</f>
        <v>9670281.9600000009</v>
      </c>
      <c r="M63" s="46"/>
    </row>
    <row r="64" spans="1:13">
      <c r="B64" s="388">
        <f>SUM(B60:C63)</f>
        <v>6182884.3499999996</v>
      </c>
      <c r="C64" s="388"/>
      <c r="I64" s="116">
        <f>SUM(I58:I63)</f>
        <v>4689687.1100000003</v>
      </c>
      <c r="J64" s="109">
        <f>J62-J63</f>
        <v>-3479861.0799999982</v>
      </c>
      <c r="M64" s="109">
        <v>24416573.030000001</v>
      </c>
    </row>
    <row r="65" spans="1:13">
      <c r="I65" s="109">
        <v>7212797.6100000003</v>
      </c>
      <c r="M65" s="109">
        <v>24708913.030000001</v>
      </c>
    </row>
    <row r="66" spans="1:13">
      <c r="I66" s="109">
        <f>I64-I65</f>
        <v>-2523110.5</v>
      </c>
      <c r="M66" s="109">
        <f>M64-M65</f>
        <v>-292340</v>
      </c>
    </row>
    <row r="67" spans="1:13">
      <c r="I67" s="109"/>
      <c r="M67" s="109">
        <v>289860</v>
      </c>
    </row>
    <row r="68" spans="1:13">
      <c r="I68" s="109"/>
      <c r="J68" s="109">
        <v>25346381.800000001</v>
      </c>
      <c r="M68" s="173">
        <f>SUM(M66:M67)</f>
        <v>-2480</v>
      </c>
    </row>
    <row r="69" spans="1:13">
      <c r="I69" s="109"/>
      <c r="J69" s="109">
        <v>24042658.690000001</v>
      </c>
      <c r="M69" s="46"/>
    </row>
    <row r="70" spans="1:13">
      <c r="I70" s="109"/>
      <c r="J70" s="109">
        <f>J68-J69</f>
        <v>1303723.1099999994</v>
      </c>
      <c r="L70" s="109">
        <v>400000</v>
      </c>
      <c r="M70" s="46"/>
    </row>
    <row r="71" spans="1:13">
      <c r="I71" s="109"/>
      <c r="L71" s="109">
        <v>1000000</v>
      </c>
      <c r="M71" s="109">
        <v>25279.7</v>
      </c>
    </row>
    <row r="72" spans="1:13">
      <c r="I72" s="109"/>
      <c r="M72" s="109">
        <v>27759.7</v>
      </c>
    </row>
    <row r="73" spans="1:13">
      <c r="H73" s="109"/>
      <c r="I73" s="109"/>
      <c r="M73" s="173">
        <f>M71-M72</f>
        <v>-2480</v>
      </c>
    </row>
    <row r="74" spans="1:13">
      <c r="H74" s="109">
        <v>4455551.57</v>
      </c>
      <c r="I74" s="109"/>
      <c r="J74" s="109">
        <v>17496381.800000001</v>
      </c>
      <c r="M74" s="46"/>
    </row>
    <row r="75" spans="1:13">
      <c r="H75" s="109">
        <v>5760963.6399999997</v>
      </c>
      <c r="I75" s="109"/>
      <c r="J75" s="109">
        <v>7850000</v>
      </c>
      <c r="M75" s="46"/>
    </row>
    <row r="76" spans="1:13">
      <c r="H76" s="109">
        <f>SUM(H74:H75)</f>
        <v>10216515.210000001</v>
      </c>
      <c r="I76" s="109"/>
      <c r="J76" s="109">
        <f>SUM(J74:J75)</f>
        <v>25346381.800000001</v>
      </c>
      <c r="M76" s="46"/>
    </row>
    <row r="77" spans="1:13" s="109" customFormat="1">
      <c r="A77" s="46"/>
      <c r="B77" s="46"/>
      <c r="C77" s="46"/>
      <c r="D77" s="46"/>
      <c r="E77" s="46"/>
      <c r="F77" s="46"/>
      <c r="G77" s="46"/>
    </row>
    <row r="78" spans="1:13" s="109" customFormat="1">
      <c r="A78" s="46"/>
      <c r="B78" s="46"/>
      <c r="C78" s="46"/>
      <c r="D78" s="46"/>
      <c r="E78" s="46"/>
      <c r="F78" s="46"/>
      <c r="G78" s="46"/>
    </row>
    <row r="79" spans="1:13" s="109" customFormat="1">
      <c r="A79" s="46"/>
      <c r="B79" s="46"/>
      <c r="C79" s="46"/>
      <c r="D79" s="46"/>
      <c r="E79" s="46"/>
      <c r="F79" s="46"/>
      <c r="G79" s="46"/>
    </row>
    <row r="80" spans="1:13" s="109" customFormat="1">
      <c r="A80" s="46"/>
      <c r="B80" s="46"/>
      <c r="C80" s="46"/>
      <c r="D80" s="46"/>
      <c r="E80" s="46"/>
      <c r="F80" s="46"/>
      <c r="G80" s="46"/>
    </row>
    <row r="81" spans="1:11" s="109" customFormat="1">
      <c r="A81" s="46"/>
      <c r="B81" s="46"/>
      <c r="C81" s="46"/>
      <c r="D81" s="46"/>
      <c r="E81" s="46"/>
      <c r="F81" s="46"/>
      <c r="G81" s="46"/>
    </row>
    <row r="82" spans="1:11" s="109" customFormat="1">
      <c r="A82" s="46"/>
      <c r="B82" s="46"/>
      <c r="C82" s="46"/>
      <c r="D82" s="46"/>
      <c r="E82" s="46"/>
      <c r="F82" s="46"/>
      <c r="G82" s="46"/>
    </row>
    <row r="83" spans="1:11" s="109" customFormat="1">
      <c r="A83" s="46"/>
      <c r="B83" s="46"/>
      <c r="C83" s="46"/>
      <c r="D83" s="46"/>
      <c r="E83" s="46"/>
      <c r="F83" s="46"/>
      <c r="G83" s="46"/>
      <c r="H83" s="46"/>
    </row>
    <row r="84" spans="1:11" s="109" customFormat="1">
      <c r="A84" s="46"/>
      <c r="B84" s="46"/>
      <c r="C84" s="46"/>
      <c r="D84" s="46"/>
      <c r="E84" s="46"/>
      <c r="F84" s="46"/>
      <c r="G84" s="46"/>
      <c r="H84" s="46"/>
    </row>
    <row r="85" spans="1:11" s="109" customFormat="1">
      <c r="A85" s="46"/>
      <c r="B85" s="46"/>
      <c r="C85" s="46"/>
      <c r="D85" s="46"/>
      <c r="E85" s="46"/>
      <c r="F85" s="46"/>
      <c r="G85" s="46"/>
      <c r="H85" s="46"/>
    </row>
    <row r="86" spans="1:11" s="109" customFormat="1">
      <c r="A86" s="46"/>
      <c r="B86" s="46"/>
      <c r="C86" s="46"/>
      <c r="D86" s="46"/>
      <c r="E86" s="46"/>
      <c r="F86" s="46"/>
      <c r="G86" s="46"/>
      <c r="H86" s="46"/>
    </row>
    <row r="87" spans="1:11" s="109" customFormat="1">
      <c r="A87" s="46"/>
      <c r="B87" s="46"/>
      <c r="C87" s="46"/>
      <c r="D87" s="46"/>
      <c r="E87" s="46"/>
      <c r="F87" s="46"/>
      <c r="G87" s="46"/>
      <c r="H87" s="46"/>
      <c r="K87" s="46"/>
    </row>
    <row r="88" spans="1:11" s="109" customFormat="1">
      <c r="A88" s="46"/>
      <c r="B88" s="46"/>
      <c r="C88" s="46"/>
      <c r="D88" s="46"/>
      <c r="E88" s="46"/>
      <c r="F88" s="46"/>
      <c r="G88" s="46"/>
      <c r="H88" s="46"/>
      <c r="K88" s="46"/>
    </row>
    <row r="89" spans="1:11" s="109" customFormat="1">
      <c r="A89" s="46"/>
      <c r="B89" s="46"/>
      <c r="C89" s="46"/>
      <c r="D89" s="46"/>
      <c r="E89" s="46"/>
      <c r="F89" s="46"/>
      <c r="G89" s="46"/>
      <c r="H89" s="46"/>
      <c r="K89" s="46"/>
    </row>
    <row r="90" spans="1:11" s="109" customFormat="1">
      <c r="A90" s="46"/>
      <c r="B90" s="46"/>
      <c r="C90" s="46"/>
      <c r="D90" s="46"/>
      <c r="E90" s="46"/>
      <c r="F90" s="46"/>
      <c r="G90" s="46"/>
      <c r="H90" s="46"/>
      <c r="K90" s="46"/>
    </row>
    <row r="91" spans="1:11" s="109" customFormat="1">
      <c r="A91" s="46"/>
      <c r="B91" s="46"/>
      <c r="C91" s="46"/>
      <c r="D91" s="46"/>
      <c r="E91" s="46"/>
      <c r="F91" s="46"/>
      <c r="G91" s="46"/>
      <c r="H91" s="46"/>
      <c r="K91" s="46"/>
    </row>
    <row r="92" spans="1:11" s="109" customFormat="1">
      <c r="A92" s="46"/>
      <c r="B92" s="46"/>
      <c r="C92" s="46"/>
      <c r="D92" s="46"/>
      <c r="E92" s="46"/>
      <c r="F92" s="46"/>
      <c r="G92" s="46"/>
      <c r="H92" s="46"/>
      <c r="K92" s="46"/>
    </row>
    <row r="93" spans="1:11" s="109" customFormat="1">
      <c r="A93" s="46"/>
      <c r="B93" s="46"/>
      <c r="C93" s="46"/>
      <c r="D93" s="46"/>
      <c r="E93" s="46"/>
      <c r="F93" s="46"/>
      <c r="G93" s="46"/>
      <c r="H93" s="46"/>
      <c r="K93" s="46"/>
    </row>
    <row r="94" spans="1:11" s="109" customFormat="1">
      <c r="A94" s="46"/>
      <c r="B94" s="46"/>
      <c r="C94" s="46"/>
      <c r="D94" s="46"/>
      <c r="E94" s="46"/>
      <c r="F94" s="46"/>
      <c r="G94" s="46"/>
      <c r="H94" s="46"/>
      <c r="K94" s="46"/>
    </row>
    <row r="95" spans="1:11" s="109" customFormat="1">
      <c r="A95" s="46"/>
      <c r="B95" s="46"/>
      <c r="C95" s="46"/>
      <c r="D95" s="46"/>
      <c r="E95" s="46"/>
      <c r="F95" s="46"/>
      <c r="G95" s="46"/>
      <c r="H95" s="46"/>
      <c r="K95" s="46"/>
    </row>
    <row r="96" spans="1:11" s="109" customFormat="1">
      <c r="A96" s="46"/>
      <c r="B96" s="46"/>
      <c r="C96" s="46"/>
      <c r="D96" s="46"/>
      <c r="E96" s="46"/>
      <c r="F96" s="46"/>
      <c r="G96" s="46"/>
      <c r="H96" s="46"/>
      <c r="K96" s="46"/>
    </row>
    <row r="97" spans="1:11" s="109" customFormat="1">
      <c r="A97" s="46"/>
      <c r="B97" s="46"/>
      <c r="C97" s="46"/>
      <c r="D97" s="46"/>
      <c r="E97" s="46"/>
      <c r="F97" s="46"/>
      <c r="G97" s="46"/>
      <c r="H97" s="46"/>
      <c r="K97" s="46"/>
    </row>
    <row r="98" spans="1:11" s="109" customFormat="1">
      <c r="A98" s="46"/>
      <c r="B98" s="46"/>
      <c r="C98" s="46"/>
      <c r="D98" s="46"/>
      <c r="E98" s="46"/>
      <c r="F98" s="46"/>
      <c r="G98" s="46"/>
      <c r="H98" s="46"/>
      <c r="K98" s="46"/>
    </row>
    <row r="99" spans="1:11" s="109" customFormat="1">
      <c r="A99" s="46"/>
      <c r="B99" s="46"/>
      <c r="C99" s="46"/>
      <c r="D99" s="46"/>
      <c r="E99" s="46"/>
      <c r="F99" s="46"/>
      <c r="G99" s="46"/>
      <c r="H99" s="46"/>
      <c r="K99" s="46"/>
    </row>
  </sheetData>
  <mergeCells count="8">
    <mergeCell ref="B63:C63"/>
    <mergeCell ref="B64:C64"/>
    <mergeCell ref="A2:J2"/>
    <mergeCell ref="A3:J3"/>
    <mergeCell ref="A4:J4"/>
    <mergeCell ref="B60:C60"/>
    <mergeCell ref="B61:C61"/>
    <mergeCell ref="B62:C62"/>
  </mergeCells>
  <printOptions horizontalCentered="1"/>
  <pageMargins left="0.02" right="0.15" top="0.39" bottom="0.1" header="0.21" footer="0.1"/>
  <pageSetup scale="84" orientation="portrait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N99"/>
  <sheetViews>
    <sheetView workbookViewId="0">
      <selection activeCell="I20" sqref="I20"/>
    </sheetView>
  </sheetViews>
  <sheetFormatPr defaultRowHeight="12.75"/>
  <cols>
    <col min="1" max="1" width="6" style="46" customWidth="1"/>
    <col min="2" max="3" width="9.140625" style="46"/>
    <col min="4" max="4" width="16.5703125" style="46" customWidth="1"/>
    <col min="5" max="6" width="13.85546875" style="46" customWidth="1"/>
    <col min="7" max="7" width="10" style="46" customWidth="1"/>
    <col min="8" max="8" width="11.5703125" style="46" customWidth="1"/>
    <col min="9" max="9" width="11.42578125" style="46" customWidth="1"/>
    <col min="10" max="10" width="13.28515625" style="109" customWidth="1"/>
    <col min="11" max="11" width="15.7109375" style="46" customWidth="1"/>
    <col min="12" max="12" width="16.85546875" style="109" customWidth="1"/>
    <col min="13" max="13" width="17" style="109" customWidth="1"/>
    <col min="14" max="14" width="17" style="46" customWidth="1"/>
    <col min="15" max="16384" width="9.140625" style="46"/>
  </cols>
  <sheetData>
    <row r="1" spans="1:13">
      <c r="A1" s="47"/>
      <c r="B1" s="48"/>
      <c r="C1" s="48"/>
      <c r="D1" s="48"/>
      <c r="E1" s="48"/>
      <c r="F1" s="48"/>
      <c r="G1" s="48"/>
      <c r="H1" s="48"/>
      <c r="I1" s="48"/>
      <c r="J1" s="169" t="s">
        <v>81</v>
      </c>
    </row>
    <row r="2" spans="1:13">
      <c r="A2" s="389" t="s">
        <v>80</v>
      </c>
      <c r="B2" s="390"/>
      <c r="C2" s="390"/>
      <c r="D2" s="390"/>
      <c r="E2" s="390"/>
      <c r="F2" s="390"/>
      <c r="G2" s="390"/>
      <c r="H2" s="390"/>
      <c r="I2" s="390"/>
      <c r="J2" s="391"/>
    </row>
    <row r="3" spans="1:13">
      <c r="A3" s="389" t="s">
        <v>306</v>
      </c>
      <c r="B3" s="390"/>
      <c r="C3" s="390"/>
      <c r="D3" s="390"/>
      <c r="E3" s="390"/>
      <c r="F3" s="390"/>
      <c r="G3" s="390"/>
      <c r="H3" s="390"/>
      <c r="I3" s="390"/>
      <c r="J3" s="391"/>
    </row>
    <row r="4" spans="1:13">
      <c r="A4" s="389"/>
      <c r="B4" s="390"/>
      <c r="C4" s="390"/>
      <c r="D4" s="390"/>
      <c r="E4" s="390"/>
      <c r="F4" s="390"/>
      <c r="G4" s="390"/>
      <c r="H4" s="390"/>
      <c r="I4" s="390"/>
      <c r="J4" s="391"/>
    </row>
    <row r="5" spans="1:13">
      <c r="A5" s="54" t="s">
        <v>77</v>
      </c>
      <c r="B5" s="328"/>
      <c r="C5" s="328"/>
      <c r="D5" s="328"/>
      <c r="E5" s="328"/>
      <c r="F5" s="328"/>
      <c r="G5" s="328"/>
      <c r="H5" s="328"/>
      <c r="I5" s="328"/>
      <c r="J5" s="170"/>
    </row>
    <row r="6" spans="1:13">
      <c r="A6" s="54" t="s">
        <v>76</v>
      </c>
      <c r="B6" s="55"/>
      <c r="C6" s="55"/>
      <c r="D6" s="55"/>
      <c r="E6" s="55"/>
      <c r="F6" s="55"/>
      <c r="G6" s="55"/>
      <c r="H6" s="55" t="s">
        <v>278</v>
      </c>
      <c r="I6" s="55"/>
      <c r="J6" s="171"/>
      <c r="K6" s="46" t="s">
        <v>210</v>
      </c>
    </row>
    <row r="7" spans="1:13">
      <c r="A7" s="47"/>
      <c r="B7" s="48"/>
      <c r="C7" s="48"/>
      <c r="D7" s="49"/>
      <c r="E7" s="88" t="s">
        <v>8</v>
      </c>
      <c r="F7" s="50"/>
      <c r="G7" s="52"/>
      <c r="H7" s="52"/>
      <c r="I7" s="53"/>
      <c r="J7" s="110"/>
    </row>
    <row r="8" spans="1:13">
      <c r="A8" s="54"/>
      <c r="B8" s="55"/>
      <c r="C8" s="55"/>
      <c r="D8" s="56"/>
      <c r="E8" s="327" t="s">
        <v>9</v>
      </c>
      <c r="F8" s="53"/>
      <c r="G8" s="59"/>
      <c r="H8" s="59"/>
      <c r="I8" s="58"/>
      <c r="J8" s="111"/>
    </row>
    <row r="9" spans="1:13">
      <c r="A9" s="61" t="s">
        <v>68</v>
      </c>
      <c r="B9" s="55"/>
      <c r="C9" s="55"/>
      <c r="D9" s="56"/>
      <c r="E9" s="327" t="s">
        <v>10</v>
      </c>
      <c r="F9" s="60" t="s">
        <v>12</v>
      </c>
      <c r="G9" s="60" t="s">
        <v>14</v>
      </c>
      <c r="H9" s="60" t="s">
        <v>20</v>
      </c>
      <c r="I9" s="60" t="s">
        <v>22</v>
      </c>
      <c r="J9" s="112" t="s">
        <v>24</v>
      </c>
    </row>
    <row r="10" spans="1:13">
      <c r="A10" s="54"/>
      <c r="B10" s="55"/>
      <c r="C10" s="55"/>
      <c r="D10" s="56"/>
      <c r="E10" s="327" t="s">
        <v>11</v>
      </c>
      <c r="F10" s="60" t="s">
        <v>13</v>
      </c>
      <c r="G10" s="59"/>
      <c r="H10" s="60" t="s">
        <v>21</v>
      </c>
      <c r="I10" s="60" t="s">
        <v>23</v>
      </c>
      <c r="J10" s="111"/>
    </row>
    <row r="11" spans="1:13">
      <c r="A11" s="62"/>
      <c r="B11" s="63"/>
      <c r="C11" s="63"/>
      <c r="D11" s="64"/>
      <c r="E11" s="65">
        <v>0.3</v>
      </c>
      <c r="F11" s="66">
        <v>0.7</v>
      </c>
      <c r="G11" s="59"/>
      <c r="H11" s="67"/>
      <c r="I11" s="68"/>
      <c r="J11" s="113"/>
    </row>
    <row r="12" spans="1:13" ht="18" customHeight="1">
      <c r="A12" s="70" t="s">
        <v>0</v>
      </c>
      <c r="B12" s="71"/>
      <c r="C12" s="71"/>
      <c r="D12" s="72"/>
      <c r="E12" s="51"/>
      <c r="F12" s="51"/>
      <c r="G12" s="51"/>
      <c r="H12" s="51"/>
      <c r="I12" s="51"/>
      <c r="J12" s="110"/>
      <c r="L12" s="326" t="s">
        <v>90</v>
      </c>
      <c r="M12" s="326" t="s">
        <v>89</v>
      </c>
    </row>
    <row r="13" spans="1:13" ht="18" customHeight="1">
      <c r="A13" s="73" t="s">
        <v>1</v>
      </c>
      <c r="B13" s="72"/>
      <c r="C13" s="72"/>
      <c r="D13" s="72"/>
      <c r="E13" s="94">
        <f>M19*0.3</f>
        <v>748968.83805000002</v>
      </c>
      <c r="F13" s="94">
        <f>M19*0.7</f>
        <v>1747593.95545</v>
      </c>
      <c r="G13" s="94"/>
      <c r="H13" s="94"/>
      <c r="I13" s="94"/>
      <c r="J13" s="114">
        <f>SUM(E13:I13)</f>
        <v>2496562.7935000001</v>
      </c>
      <c r="K13" s="175" t="e">
        <f>SUM(J13+#REF!+#REF!+#REF!+#REF!+#REF!+#REF!+#REF!+#REF!+#REF!+#REF!+#REF!)</f>
        <v>#REF!</v>
      </c>
      <c r="L13" s="109">
        <v>21367644.399999999</v>
      </c>
      <c r="M13" s="109">
        <v>4171566.4</v>
      </c>
    </row>
    <row r="14" spans="1:13" ht="18" customHeight="1">
      <c r="A14" s="73" t="s">
        <v>2</v>
      </c>
      <c r="B14" s="72"/>
      <c r="C14" s="72"/>
      <c r="D14" s="72"/>
      <c r="E14" s="102"/>
      <c r="F14" s="102"/>
      <c r="G14" s="102"/>
      <c r="H14" s="102"/>
      <c r="I14" s="102"/>
      <c r="J14" s="110"/>
      <c r="K14" s="117" t="s">
        <v>88</v>
      </c>
      <c r="L14" s="109">
        <v>9400000</v>
      </c>
      <c r="M14" s="109">
        <v>5637398.9699999997</v>
      </c>
    </row>
    <row r="15" spans="1:13" ht="18" customHeight="1">
      <c r="A15" s="75" t="s">
        <v>3</v>
      </c>
      <c r="B15" s="48"/>
      <c r="C15" s="48"/>
      <c r="D15" s="48"/>
      <c r="E15" s="102"/>
      <c r="F15" s="102"/>
      <c r="G15" s="102"/>
      <c r="H15" s="102"/>
      <c r="I15" s="102"/>
      <c r="J15" s="110"/>
      <c r="L15" s="116">
        <f>SUM(L13:L14)</f>
        <v>30767644.399999999</v>
      </c>
      <c r="M15" s="116">
        <f>SUM(M13:M14)</f>
        <v>9808965.3699999992</v>
      </c>
    </row>
    <row r="16" spans="1:13" ht="18" customHeight="1">
      <c r="A16" s="76" t="s">
        <v>78</v>
      </c>
      <c r="B16" s="55"/>
      <c r="C16" s="55"/>
      <c r="D16" s="55"/>
      <c r="E16" s="103"/>
      <c r="F16" s="103"/>
      <c r="G16" s="103"/>
      <c r="H16" s="103"/>
      <c r="I16" s="103"/>
      <c r="J16" s="113"/>
      <c r="K16" s="46">
        <v>11930281.960000001</v>
      </c>
    </row>
    <row r="17" spans="1:14" ht="18" customHeight="1">
      <c r="A17" s="77" t="s">
        <v>79</v>
      </c>
      <c r="B17" s="72"/>
      <c r="C17" s="72"/>
      <c r="D17" s="72"/>
      <c r="E17" s="94"/>
      <c r="F17" s="94"/>
      <c r="G17" s="94"/>
      <c r="H17" s="94"/>
      <c r="I17" s="94"/>
      <c r="J17" s="113">
        <f>SUM(E17:I17)</f>
        <v>0</v>
      </c>
      <c r="K17" s="173">
        <f>K16-J16</f>
        <v>11930281.960000001</v>
      </c>
      <c r="M17" s="109">
        <v>25936573.030000001</v>
      </c>
    </row>
    <row r="18" spans="1:14" ht="18" customHeight="1">
      <c r="A18" s="70" t="s">
        <v>7</v>
      </c>
      <c r="B18" s="72"/>
      <c r="C18" s="72"/>
      <c r="D18" s="72"/>
      <c r="E18" s="119">
        <f>SUM(E13:E17)</f>
        <v>748968.83805000002</v>
      </c>
      <c r="F18" s="119">
        <f t="shared" ref="F18:J18" si="0">SUM(F13:F17)</f>
        <v>1747593.95545</v>
      </c>
      <c r="G18" s="119">
        <f t="shared" si="0"/>
        <v>0</v>
      </c>
      <c r="H18" s="119">
        <f t="shared" si="0"/>
        <v>0</v>
      </c>
      <c r="I18" s="119">
        <f t="shared" si="0"/>
        <v>0</v>
      </c>
      <c r="J18" s="305">
        <f t="shared" si="0"/>
        <v>2496562.7935000001</v>
      </c>
      <c r="K18" s="166">
        <f t="shared" ref="K18:K45" si="1">SUM(E18:I18)</f>
        <v>2496562.7935000001</v>
      </c>
      <c r="L18" s="193" t="s">
        <v>171</v>
      </c>
      <c r="M18" s="192">
        <f>728270582.66-678339326.79</f>
        <v>49931255.870000005</v>
      </c>
    </row>
    <row r="19" spans="1:14" s="109" customFormat="1" ht="18" customHeight="1">
      <c r="A19" s="74" t="s">
        <v>99</v>
      </c>
      <c r="B19" s="72" t="s">
        <v>100</v>
      </c>
      <c r="C19" s="72"/>
      <c r="D19" s="72"/>
      <c r="E19" s="94">
        <f>SUM('DRRM Funds -Nov''16'!E46)</f>
        <v>31869188.041850001</v>
      </c>
      <c r="F19" s="94">
        <f>SUM('DRRM Funds -Nov''16'!F46)</f>
        <v>31791730.227650002</v>
      </c>
      <c r="G19" s="94">
        <f>SUM('DRRM Funds -Nov''16'!G46)</f>
        <v>0</v>
      </c>
      <c r="H19" s="94">
        <f>SUM('DRRM Funds -Nov''16'!H46)</f>
        <v>0</v>
      </c>
      <c r="I19" s="94">
        <f>SUM('DRRM Funds -Nov''16'!I46)</f>
        <v>0</v>
      </c>
      <c r="J19" s="94">
        <f>SUM('DRRM Funds -Nov''16'!J46)</f>
        <v>63660918.269499995</v>
      </c>
      <c r="K19" s="166">
        <f t="shared" si="1"/>
        <v>63660918.269500002</v>
      </c>
      <c r="L19" s="194">
        <v>0.05</v>
      </c>
      <c r="M19" s="269">
        <f>M18*0.05</f>
        <v>2496562.7935000001</v>
      </c>
    </row>
    <row r="20" spans="1:14" s="109" customFormat="1" ht="18" customHeight="1">
      <c r="A20" s="70" t="s">
        <v>101</v>
      </c>
      <c r="B20" s="122"/>
      <c r="C20" s="72"/>
      <c r="D20" s="72"/>
      <c r="E20" s="119">
        <f>SUM(E18:E19)</f>
        <v>32618156.879900001</v>
      </c>
      <c r="F20" s="119">
        <f t="shared" ref="F20:J20" si="2">SUM(F18:F19)</f>
        <v>33539324.1831</v>
      </c>
      <c r="G20" s="119">
        <f t="shared" si="2"/>
        <v>0</v>
      </c>
      <c r="H20" s="119">
        <f t="shared" si="2"/>
        <v>0</v>
      </c>
      <c r="I20" s="119">
        <f t="shared" si="2"/>
        <v>0</v>
      </c>
      <c r="J20" s="119">
        <f t="shared" si="2"/>
        <v>66157481.062999994</v>
      </c>
      <c r="K20" s="166">
        <f t="shared" si="1"/>
        <v>66157481.063000001</v>
      </c>
    </row>
    <row r="21" spans="1:14" ht="18" customHeight="1">
      <c r="A21" s="70" t="s">
        <v>15</v>
      </c>
      <c r="B21" s="72"/>
      <c r="C21" s="72"/>
      <c r="D21" s="72"/>
      <c r="E21" s="94"/>
      <c r="F21" s="94"/>
      <c r="G21" s="94"/>
      <c r="H21" s="94"/>
      <c r="I21" s="94"/>
      <c r="J21" s="114"/>
      <c r="K21" s="166">
        <f t="shared" si="1"/>
        <v>0</v>
      </c>
      <c r="M21" s="109">
        <v>26972032.48</v>
      </c>
    </row>
    <row r="22" spans="1:14" ht="18" customHeight="1">
      <c r="A22" s="77" t="s">
        <v>206</v>
      </c>
      <c r="B22" s="263"/>
      <c r="C22" s="263"/>
      <c r="D22" s="263"/>
      <c r="E22" s="94"/>
      <c r="F22" s="94"/>
      <c r="G22" s="94"/>
      <c r="H22" s="94"/>
      <c r="I22" s="94"/>
      <c r="J22" s="114">
        <f>SUM(E22:I22)</f>
        <v>0</v>
      </c>
      <c r="K22" s="166"/>
    </row>
    <row r="23" spans="1:14" ht="18" customHeight="1">
      <c r="A23" s="77" t="s">
        <v>251</v>
      </c>
      <c r="B23" s="263"/>
      <c r="C23" s="263"/>
      <c r="D23" s="263"/>
      <c r="E23" s="94"/>
      <c r="F23" s="94"/>
      <c r="G23" s="94"/>
      <c r="H23" s="94"/>
      <c r="I23" s="94"/>
      <c r="J23" s="114">
        <f t="shared" ref="J23:J42" si="3">SUM(E23:I23)</f>
        <v>0</v>
      </c>
      <c r="K23" s="166">
        <f t="shared" si="1"/>
        <v>0</v>
      </c>
      <c r="L23" s="176">
        <f>518731460.56*0.05</f>
        <v>25936573.028000001</v>
      </c>
      <c r="M23" s="109">
        <v>125607.13</v>
      </c>
    </row>
    <row r="24" spans="1:14" ht="18" customHeight="1">
      <c r="A24" s="290" t="s">
        <v>229</v>
      </c>
      <c r="B24" s="291"/>
      <c r="C24" s="291"/>
      <c r="D24" s="291"/>
      <c r="E24" s="292"/>
      <c r="F24" s="292"/>
      <c r="G24" s="292"/>
      <c r="H24" s="292"/>
      <c r="I24" s="292"/>
      <c r="J24" s="114">
        <f t="shared" si="3"/>
        <v>0</v>
      </c>
      <c r="K24" s="166"/>
      <c r="L24" s="228"/>
    </row>
    <row r="25" spans="1:14" ht="18" customHeight="1">
      <c r="A25" s="290" t="s">
        <v>252</v>
      </c>
      <c r="B25" s="291"/>
      <c r="C25" s="291"/>
      <c r="D25" s="291"/>
      <c r="E25" s="292"/>
      <c r="F25" s="292">
        <v>16510</v>
      </c>
      <c r="G25" s="292"/>
      <c r="H25" s="292"/>
      <c r="I25" s="292"/>
      <c r="J25" s="114">
        <f t="shared" si="3"/>
        <v>16510</v>
      </c>
      <c r="K25" s="166">
        <f t="shared" si="1"/>
        <v>16510</v>
      </c>
      <c r="M25" s="232" t="s">
        <v>236</v>
      </c>
    </row>
    <row r="26" spans="1:14" ht="18" customHeight="1">
      <c r="A26" s="290" t="s">
        <v>276</v>
      </c>
      <c r="B26" s="291"/>
      <c r="C26" s="291"/>
      <c r="D26" s="291"/>
      <c r="E26" s="292"/>
      <c r="F26" s="292">
        <v>866660.83</v>
      </c>
      <c r="G26" s="292"/>
      <c r="H26" s="292"/>
      <c r="I26" s="292"/>
      <c r="J26" s="114">
        <f t="shared" si="3"/>
        <v>866660.83</v>
      </c>
      <c r="K26" s="166">
        <f t="shared" si="1"/>
        <v>866660.83</v>
      </c>
      <c r="M26" s="229">
        <v>275607.13</v>
      </c>
      <c r="N26" s="46" t="s">
        <v>230</v>
      </c>
    </row>
    <row r="27" spans="1:14" ht="18" customHeight="1">
      <c r="A27" s="293" t="s">
        <v>275</v>
      </c>
      <c r="B27" s="291"/>
      <c r="C27" s="291"/>
      <c r="D27" s="291"/>
      <c r="E27" s="292"/>
      <c r="F27" s="292">
        <v>112428.62</v>
      </c>
      <c r="G27" s="292"/>
      <c r="H27" s="292"/>
      <c r="I27" s="292"/>
      <c r="J27" s="114">
        <f t="shared" si="3"/>
        <v>112428.62</v>
      </c>
      <c r="K27" s="166">
        <f t="shared" si="1"/>
        <v>112428.62</v>
      </c>
      <c r="M27" s="229">
        <v>695000</v>
      </c>
      <c r="N27" s="46" t="s">
        <v>232</v>
      </c>
    </row>
    <row r="28" spans="1:14" ht="18" customHeight="1">
      <c r="A28" s="290" t="s">
        <v>274</v>
      </c>
      <c r="B28" s="291"/>
      <c r="C28" s="291"/>
      <c r="D28" s="291"/>
      <c r="E28" s="292"/>
      <c r="F28" s="292"/>
      <c r="G28" s="292"/>
      <c r="H28" s="292"/>
      <c r="I28" s="292"/>
      <c r="J28" s="114">
        <f t="shared" si="3"/>
        <v>0</v>
      </c>
      <c r="K28" s="166">
        <f t="shared" si="1"/>
        <v>0</v>
      </c>
      <c r="M28" s="229">
        <v>1470000</v>
      </c>
      <c r="N28" s="46" t="s">
        <v>233</v>
      </c>
    </row>
    <row r="29" spans="1:14" ht="18" customHeight="1">
      <c r="A29" s="290" t="s">
        <v>227</v>
      </c>
      <c r="B29" s="291"/>
      <c r="C29" s="291"/>
      <c r="D29" s="291"/>
      <c r="E29" s="292"/>
      <c r="F29" s="292">
        <v>7954388.7999999998</v>
      </c>
      <c r="G29" s="292"/>
      <c r="H29" s="292"/>
      <c r="I29" s="292"/>
      <c r="J29" s="114">
        <f t="shared" si="3"/>
        <v>7954388.7999999998</v>
      </c>
      <c r="K29" s="166">
        <f t="shared" si="1"/>
        <v>7954388.7999999998</v>
      </c>
      <c r="L29" s="329"/>
      <c r="M29" s="229">
        <v>3071228.76</v>
      </c>
      <c r="N29" s="46" t="s">
        <v>231</v>
      </c>
    </row>
    <row r="30" spans="1:14" ht="18" customHeight="1">
      <c r="A30" s="290" t="s">
        <v>273</v>
      </c>
      <c r="B30" s="291"/>
      <c r="C30" s="291"/>
      <c r="D30" s="291"/>
      <c r="E30" s="292"/>
      <c r="F30" s="292"/>
      <c r="G30" s="292"/>
      <c r="H30" s="292"/>
      <c r="I30" s="292"/>
      <c r="J30" s="114">
        <f t="shared" si="3"/>
        <v>0</v>
      </c>
      <c r="K30" s="166"/>
      <c r="L30" s="329"/>
      <c r="M30" s="229">
        <v>5009130</v>
      </c>
      <c r="N30" s="46" t="s">
        <v>234</v>
      </c>
    </row>
    <row r="31" spans="1:14" ht="18" customHeight="1">
      <c r="A31" s="290" t="s">
        <v>213</v>
      </c>
      <c r="B31" s="291"/>
      <c r="C31" s="291"/>
      <c r="D31" s="291"/>
      <c r="E31" s="292"/>
      <c r="F31" s="292"/>
      <c r="G31" s="292"/>
      <c r="H31" s="292"/>
      <c r="I31" s="292"/>
      <c r="J31" s="114">
        <f t="shared" si="3"/>
        <v>0</v>
      </c>
      <c r="K31" s="166"/>
      <c r="L31" s="329"/>
      <c r="M31" s="230">
        <v>1900100</v>
      </c>
      <c r="N31" s="46" t="s">
        <v>235</v>
      </c>
    </row>
    <row r="32" spans="1:14" ht="18" customHeight="1">
      <c r="A32" s="290" t="s">
        <v>250</v>
      </c>
      <c r="B32" s="291"/>
      <c r="C32" s="291"/>
      <c r="D32" s="291"/>
      <c r="E32" s="292"/>
      <c r="F32" s="292"/>
      <c r="G32" s="292"/>
      <c r="H32" s="292"/>
      <c r="I32" s="292"/>
      <c r="J32" s="114">
        <f t="shared" si="3"/>
        <v>0</v>
      </c>
      <c r="K32" s="166"/>
      <c r="L32" s="329"/>
      <c r="M32" s="289">
        <f>SUM(M26:M31)</f>
        <v>12421065.890000001</v>
      </c>
    </row>
    <row r="33" spans="1:13" ht="18" customHeight="1">
      <c r="A33" s="290" t="s">
        <v>214</v>
      </c>
      <c r="B33" s="291"/>
      <c r="C33" s="291"/>
      <c r="D33" s="291"/>
      <c r="E33" s="292"/>
      <c r="F33" s="292"/>
      <c r="G33" s="292"/>
      <c r="H33" s="292"/>
      <c r="I33" s="292"/>
      <c r="J33" s="114">
        <f t="shared" si="3"/>
        <v>0</v>
      </c>
      <c r="K33" s="227"/>
      <c r="L33" s="329"/>
    </row>
    <row r="34" spans="1:13" ht="18" customHeight="1">
      <c r="A34" s="290" t="s">
        <v>249</v>
      </c>
      <c r="B34" s="291"/>
      <c r="C34" s="291"/>
      <c r="D34" s="291"/>
      <c r="E34" s="292"/>
      <c r="F34" s="292"/>
      <c r="G34" s="292"/>
      <c r="H34" s="292"/>
      <c r="I34" s="292"/>
      <c r="J34" s="114">
        <f t="shared" si="3"/>
        <v>0</v>
      </c>
      <c r="K34" s="265"/>
      <c r="L34" s="329"/>
    </row>
    <row r="35" spans="1:13" ht="18" customHeight="1">
      <c r="A35" s="290" t="s">
        <v>222</v>
      </c>
      <c r="B35" s="291"/>
      <c r="C35" s="291"/>
      <c r="D35" s="291"/>
      <c r="E35" s="292"/>
      <c r="F35" s="292"/>
      <c r="G35" s="292"/>
      <c r="H35" s="292"/>
      <c r="I35" s="292"/>
      <c r="J35" s="114">
        <f t="shared" si="3"/>
        <v>0</v>
      </c>
      <c r="K35" s="266">
        <f t="shared" si="1"/>
        <v>0</v>
      </c>
      <c r="L35" s="109">
        <f>SUM(F29:F35)</f>
        <v>7954388.7999999998</v>
      </c>
    </row>
    <row r="36" spans="1:13" ht="18" customHeight="1">
      <c r="A36" s="290" t="s">
        <v>223</v>
      </c>
      <c r="B36" s="291"/>
      <c r="C36" s="291"/>
      <c r="D36" s="291"/>
      <c r="E36" s="292"/>
      <c r="F36" s="292"/>
      <c r="G36" s="292"/>
      <c r="H36" s="292"/>
      <c r="I36" s="292"/>
      <c r="J36" s="114">
        <f t="shared" si="3"/>
        <v>0</v>
      </c>
      <c r="K36" s="166">
        <f t="shared" si="1"/>
        <v>0</v>
      </c>
      <c r="L36" s="109">
        <v>147060</v>
      </c>
    </row>
    <row r="37" spans="1:13" ht="18" customHeight="1">
      <c r="A37" s="290" t="s">
        <v>168</v>
      </c>
      <c r="B37" s="291"/>
      <c r="C37" s="291"/>
      <c r="D37" s="291"/>
      <c r="E37" s="292"/>
      <c r="F37" s="292"/>
      <c r="G37" s="292"/>
      <c r="H37" s="292"/>
      <c r="I37" s="292"/>
      <c r="J37" s="114">
        <f t="shared" si="3"/>
        <v>0</v>
      </c>
      <c r="K37" s="166">
        <f t="shared" si="1"/>
        <v>0</v>
      </c>
    </row>
    <row r="38" spans="1:13" ht="18" customHeight="1">
      <c r="A38" s="290" t="s">
        <v>293</v>
      </c>
      <c r="B38" s="291"/>
      <c r="C38" s="291"/>
      <c r="D38" s="291"/>
      <c r="E38" s="292"/>
      <c r="F38" s="292"/>
      <c r="G38" s="292"/>
      <c r="H38" s="292"/>
      <c r="I38" s="292"/>
      <c r="J38" s="114">
        <f t="shared" si="3"/>
        <v>0</v>
      </c>
      <c r="K38" s="166">
        <f t="shared" si="1"/>
        <v>0</v>
      </c>
      <c r="L38" s="109">
        <v>1555500</v>
      </c>
    </row>
    <row r="39" spans="1:13" ht="18" customHeight="1">
      <c r="A39" s="290" t="s">
        <v>207</v>
      </c>
      <c r="B39" s="291"/>
      <c r="C39" s="291"/>
      <c r="D39" s="291"/>
      <c r="E39" s="292"/>
      <c r="F39" s="292"/>
      <c r="G39" s="292"/>
      <c r="H39" s="292"/>
      <c r="I39" s="292"/>
      <c r="J39" s="114">
        <f t="shared" si="3"/>
        <v>0</v>
      </c>
      <c r="K39" s="166"/>
    </row>
    <row r="40" spans="1:13" ht="18" customHeight="1">
      <c r="A40" s="83" t="s">
        <v>94</v>
      </c>
      <c r="B40" s="263"/>
      <c r="C40" s="263"/>
      <c r="D40" s="263"/>
      <c r="E40" s="94"/>
      <c r="F40" s="94"/>
      <c r="G40" s="94"/>
      <c r="H40" s="94"/>
      <c r="I40" s="94"/>
      <c r="J40" s="114">
        <f t="shared" si="3"/>
        <v>0</v>
      </c>
      <c r="K40" s="166">
        <f t="shared" si="1"/>
        <v>0</v>
      </c>
      <c r="L40" s="109">
        <v>177000</v>
      </c>
    </row>
    <row r="41" spans="1:13" ht="18" customHeight="1">
      <c r="A41" s="83" t="s">
        <v>95</v>
      </c>
      <c r="B41" s="263"/>
      <c r="C41" s="263"/>
      <c r="D41" s="263"/>
      <c r="E41" s="94"/>
      <c r="F41" s="94"/>
      <c r="G41" s="94"/>
      <c r="H41" s="94"/>
      <c r="I41" s="94"/>
      <c r="J41" s="114">
        <f t="shared" si="3"/>
        <v>0</v>
      </c>
      <c r="K41" s="166">
        <f t="shared" si="1"/>
        <v>0</v>
      </c>
      <c r="L41" s="109">
        <v>204055</v>
      </c>
    </row>
    <row r="42" spans="1:13" ht="18" customHeight="1">
      <c r="A42" s="77" t="s">
        <v>96</v>
      </c>
      <c r="B42" s="263"/>
      <c r="C42" s="263"/>
      <c r="D42" s="263"/>
      <c r="E42" s="94"/>
      <c r="F42" s="102"/>
      <c r="G42" s="94"/>
      <c r="H42" s="94"/>
      <c r="I42" s="94"/>
      <c r="J42" s="114">
        <f t="shared" si="3"/>
        <v>0</v>
      </c>
      <c r="K42" s="166">
        <f t="shared" si="1"/>
        <v>0</v>
      </c>
      <c r="L42" s="109">
        <v>71070</v>
      </c>
    </row>
    <row r="43" spans="1:13" ht="18" customHeight="1">
      <c r="A43" s="84" t="s">
        <v>92</v>
      </c>
      <c r="B43" s="63"/>
      <c r="C43" s="63"/>
      <c r="D43" s="63"/>
      <c r="E43" s="89">
        <f>SUM(E22:E42)</f>
        <v>0</v>
      </c>
      <c r="F43" s="303">
        <f>SUM(F22:F42)</f>
        <v>8949988.25</v>
      </c>
      <c r="G43" s="304">
        <f>SUM(G22:G42)</f>
        <v>0</v>
      </c>
      <c r="H43" s="94">
        <f t="shared" ref="H43:J43" si="4">SUM(H22:H42)</f>
        <v>0</v>
      </c>
      <c r="I43" s="94">
        <f t="shared" si="4"/>
        <v>0</v>
      </c>
      <c r="J43" s="292">
        <f t="shared" si="4"/>
        <v>8949988.25</v>
      </c>
      <c r="K43" s="166">
        <f t="shared" si="1"/>
        <v>8949988.25</v>
      </c>
      <c r="L43" s="109">
        <v>27800</v>
      </c>
      <c r="M43" s="46"/>
    </row>
    <row r="44" spans="1:13" ht="18" customHeight="1">
      <c r="A44" s="84" t="s">
        <v>103</v>
      </c>
      <c r="B44" s="63"/>
      <c r="C44" s="63"/>
      <c r="D44" s="63"/>
      <c r="E44" s="103">
        <f>SUM('DRRM Funds -Nov''16'!E45)</f>
        <v>0</v>
      </c>
      <c r="F44" s="103">
        <f>SUM('DRRM Funds -Nov''16'!F45)</f>
        <v>12042088.189999999</v>
      </c>
      <c r="G44" s="103">
        <f>SUM('DRRM Funds -Nov''16'!G45)</f>
        <v>0</v>
      </c>
      <c r="H44" s="103">
        <f>SUM('DRRM Funds -Nov''16'!H45)</f>
        <v>0</v>
      </c>
      <c r="I44" s="103">
        <f>SUM('DRRM Funds -Nov''16'!I45)</f>
        <v>0</v>
      </c>
      <c r="J44" s="103">
        <f>SUM('DRRM Funds -Nov''16'!J45)</f>
        <v>12042088.189999999</v>
      </c>
      <c r="K44" s="166">
        <f t="shared" si="1"/>
        <v>12042088.189999999</v>
      </c>
      <c r="L44" s="109">
        <v>126865</v>
      </c>
      <c r="M44" s="109">
        <f>SUM(E44:H44)</f>
        <v>12042088.189999999</v>
      </c>
    </row>
    <row r="45" spans="1:13" ht="18" customHeight="1">
      <c r="A45" s="84" t="s">
        <v>104</v>
      </c>
      <c r="B45" s="63"/>
      <c r="C45" s="63"/>
      <c r="D45" s="63"/>
      <c r="E45" s="103">
        <f>SUM(E43:E44)</f>
        <v>0</v>
      </c>
      <c r="F45" s="103">
        <f t="shared" ref="F45:J45" si="5">SUM(F43:F44)</f>
        <v>20992076.439999998</v>
      </c>
      <c r="G45" s="103">
        <f t="shared" si="5"/>
        <v>0</v>
      </c>
      <c r="H45" s="103">
        <f t="shared" si="5"/>
        <v>0</v>
      </c>
      <c r="I45" s="103">
        <f t="shared" si="5"/>
        <v>0</v>
      </c>
      <c r="J45" s="103">
        <f t="shared" si="5"/>
        <v>20992076.439999998</v>
      </c>
      <c r="K45" s="166">
        <f t="shared" si="1"/>
        <v>20992076.439999998</v>
      </c>
      <c r="L45" s="174">
        <f>SUM(L35:L44)</f>
        <v>10263738.800000001</v>
      </c>
      <c r="M45" s="109">
        <v>10492358.970000001</v>
      </c>
    </row>
    <row r="46" spans="1:13" ht="18" customHeight="1">
      <c r="A46" s="70" t="s">
        <v>93</v>
      </c>
      <c r="B46" s="72"/>
      <c r="C46" s="72"/>
      <c r="D46" s="80"/>
      <c r="E46" s="231">
        <f t="shared" ref="E46:J46" si="6">E20-E43</f>
        <v>32618156.879900001</v>
      </c>
      <c r="F46" s="231">
        <f t="shared" si="6"/>
        <v>24589335.9331</v>
      </c>
      <c r="G46" s="231">
        <f>G20-G43</f>
        <v>0</v>
      </c>
      <c r="H46" s="231">
        <f t="shared" si="6"/>
        <v>0</v>
      </c>
      <c r="I46" s="231">
        <f t="shared" si="6"/>
        <v>0</v>
      </c>
      <c r="J46" s="231">
        <f t="shared" si="6"/>
        <v>57207492.812999994</v>
      </c>
      <c r="K46" s="166">
        <f>SUM(E46:I46)</f>
        <v>57207492.813000001</v>
      </c>
      <c r="L46" s="46"/>
      <c r="M46" s="109">
        <f>M45-L45</f>
        <v>228620.16999999993</v>
      </c>
    </row>
    <row r="47" spans="1:13" ht="18" customHeight="1">
      <c r="A47" s="55"/>
      <c r="B47" s="55"/>
      <c r="C47" s="55"/>
      <c r="D47" s="55"/>
      <c r="E47" s="55"/>
      <c r="F47" s="55"/>
      <c r="G47" s="55"/>
      <c r="H47" s="55"/>
      <c r="I47" s="55"/>
      <c r="J47" s="115" t="s">
        <v>74</v>
      </c>
      <c r="K47" s="92">
        <f>SUM(E46:F46)</f>
        <v>57207492.813000001</v>
      </c>
      <c r="M47" s="109">
        <v>0</v>
      </c>
    </row>
    <row r="48" spans="1:13">
      <c r="A48" s="55" t="s">
        <v>83</v>
      </c>
      <c r="B48" s="55"/>
      <c r="C48" s="55"/>
      <c r="D48" s="55"/>
      <c r="E48" s="55"/>
      <c r="F48" s="55"/>
      <c r="G48" s="55"/>
      <c r="H48" s="55" t="s">
        <v>29</v>
      </c>
      <c r="I48" s="55"/>
      <c r="J48" s="115"/>
      <c r="K48" s="55"/>
      <c r="L48" s="109">
        <v>752760</v>
      </c>
    </row>
    <row r="49" spans="1:13">
      <c r="A49" s="55"/>
      <c r="B49" s="55"/>
      <c r="C49" s="55"/>
      <c r="D49" s="55"/>
      <c r="E49" s="55"/>
      <c r="F49" s="55"/>
      <c r="G49" s="55"/>
      <c r="H49" s="55"/>
      <c r="I49" s="55"/>
      <c r="J49" s="115"/>
      <c r="K49" s="55"/>
      <c r="L49" s="109">
        <v>902075</v>
      </c>
    </row>
    <row r="50" spans="1:13">
      <c r="A50" s="82" t="s">
        <v>202</v>
      </c>
      <c r="B50" s="55"/>
      <c r="C50" s="55"/>
      <c r="D50" s="55"/>
      <c r="E50" s="55"/>
      <c r="F50" s="55"/>
      <c r="G50" s="55"/>
      <c r="H50" s="241" t="s">
        <v>72</v>
      </c>
      <c r="I50" s="55"/>
      <c r="J50" s="115"/>
      <c r="K50" s="55"/>
      <c r="L50" s="109">
        <v>504234.65</v>
      </c>
      <c r="M50" s="109">
        <v>8736531.7100000009</v>
      </c>
    </row>
    <row r="51" spans="1:13">
      <c r="A51" s="140" t="s">
        <v>287</v>
      </c>
      <c r="B51" s="55"/>
      <c r="C51" s="55"/>
      <c r="D51" s="55"/>
      <c r="E51" s="55"/>
      <c r="F51" s="55"/>
      <c r="G51" s="55"/>
      <c r="H51" s="140" t="s">
        <v>85</v>
      </c>
      <c r="I51" s="55"/>
      <c r="J51" s="115"/>
      <c r="K51" s="55"/>
      <c r="L51" s="109">
        <v>899145</v>
      </c>
      <c r="M51" s="109">
        <v>10140</v>
      </c>
    </row>
    <row r="52" spans="1:13">
      <c r="A52" s="55"/>
      <c r="B52" s="55"/>
      <c r="C52" s="55"/>
      <c r="D52" s="55"/>
      <c r="E52" s="121" t="s">
        <v>237</v>
      </c>
      <c r="F52" s="55"/>
      <c r="G52" s="55"/>
      <c r="H52" s="55"/>
      <c r="I52" s="55"/>
      <c r="J52" s="115"/>
      <c r="K52" s="55"/>
      <c r="L52" s="109">
        <v>1087927.3999999999</v>
      </c>
      <c r="M52" s="109">
        <f>SUM(M50:M51)</f>
        <v>8746671.7100000009</v>
      </c>
    </row>
    <row r="53" spans="1:13">
      <c r="A53" s="55"/>
      <c r="B53" s="55"/>
      <c r="C53" s="55"/>
      <c r="D53" s="55"/>
      <c r="E53" s="115"/>
      <c r="F53" s="55"/>
      <c r="G53" s="55"/>
      <c r="H53" s="55"/>
      <c r="I53" s="115"/>
      <c r="J53" s="115"/>
      <c r="K53" s="55"/>
      <c r="L53" s="109">
        <v>2896515.5</v>
      </c>
    </row>
    <row r="54" spans="1:13">
      <c r="A54" s="55"/>
      <c r="B54" s="55"/>
      <c r="C54" s="55"/>
      <c r="D54" s="55"/>
      <c r="E54" s="82" t="s">
        <v>298</v>
      </c>
      <c r="F54" s="55"/>
      <c r="G54" s="55"/>
      <c r="H54" s="55"/>
      <c r="I54" s="115"/>
      <c r="J54" s="115"/>
      <c r="K54" s="55"/>
    </row>
    <row r="55" spans="1:13">
      <c r="A55" s="55"/>
      <c r="B55" s="55"/>
      <c r="C55" s="55"/>
      <c r="D55" s="55"/>
      <c r="E55" s="55" t="s">
        <v>299</v>
      </c>
      <c r="F55" s="55"/>
      <c r="G55" s="55"/>
      <c r="H55" s="55"/>
      <c r="I55" s="115"/>
      <c r="J55" s="115"/>
      <c r="K55" s="55"/>
      <c r="L55" s="109">
        <v>120000</v>
      </c>
    </row>
    <row r="56" spans="1:13">
      <c r="I56" s="109"/>
      <c r="M56" s="46"/>
    </row>
    <row r="57" spans="1:13">
      <c r="F57" s="121"/>
      <c r="I57" s="109"/>
      <c r="K57" s="55"/>
      <c r="L57" s="115">
        <v>630000</v>
      </c>
      <c r="M57" s="183">
        <v>10644424.82</v>
      </c>
    </row>
    <row r="58" spans="1:13">
      <c r="B58" s="276" t="s">
        <v>236</v>
      </c>
      <c r="F58" s="115"/>
      <c r="I58" s="109"/>
      <c r="J58" s="109">
        <v>7850000</v>
      </c>
      <c r="L58" s="109">
        <v>1000000</v>
      </c>
      <c r="M58" s="183">
        <v>13157941.960000001</v>
      </c>
    </row>
    <row r="59" spans="1:13">
      <c r="I59" s="109"/>
      <c r="J59" s="109">
        <v>800000</v>
      </c>
      <c r="L59" s="109">
        <v>1300000</v>
      </c>
      <c r="M59" s="184">
        <v>0</v>
      </c>
    </row>
    <row r="60" spans="1:13">
      <c r="A60" s="46" t="s">
        <v>282</v>
      </c>
      <c r="B60" s="392">
        <f>1493800+99900</f>
        <v>1593700</v>
      </c>
      <c r="C60" s="392"/>
      <c r="I60" s="109"/>
      <c r="J60" s="109">
        <v>1200000</v>
      </c>
      <c r="L60" s="109">
        <v>2000000</v>
      </c>
      <c r="M60" s="183">
        <f>SUM(M57:M59)</f>
        <v>23802366.780000001</v>
      </c>
    </row>
    <row r="61" spans="1:13">
      <c r="A61" s="46" t="s">
        <v>281</v>
      </c>
      <c r="B61" s="392">
        <v>1400000</v>
      </c>
      <c r="C61" s="392"/>
      <c r="I61" s="109"/>
      <c r="J61" s="109">
        <v>3500000</v>
      </c>
      <c r="L61" s="109">
        <v>150000</v>
      </c>
      <c r="M61" s="183">
        <v>24092226.780000001</v>
      </c>
    </row>
    <row r="62" spans="1:13">
      <c r="A62" s="46" t="s">
        <v>258</v>
      </c>
      <c r="B62" s="393">
        <v>1975000</v>
      </c>
      <c r="C62" s="393"/>
      <c r="I62" s="109">
        <v>100000</v>
      </c>
      <c r="J62" s="116">
        <f>SUM(J58:J61)</f>
        <v>13350000</v>
      </c>
      <c r="L62" s="109">
        <v>4590281.96</v>
      </c>
      <c r="M62" s="183">
        <f>M61-M60</f>
        <v>289860</v>
      </c>
    </row>
    <row r="63" spans="1:13">
      <c r="A63" s="46" t="s">
        <v>283</v>
      </c>
      <c r="B63" s="387">
        <v>1214184.3500000001</v>
      </c>
      <c r="C63" s="387"/>
      <c r="I63" s="109">
        <v>4589687.1100000003</v>
      </c>
      <c r="J63" s="109">
        <v>16829861.079999998</v>
      </c>
      <c r="L63" s="109">
        <f>SUM(L57:L62)</f>
        <v>9670281.9600000009</v>
      </c>
      <c r="M63" s="46"/>
    </row>
    <row r="64" spans="1:13">
      <c r="B64" s="388">
        <f>SUM(B60:C63)</f>
        <v>6182884.3499999996</v>
      </c>
      <c r="C64" s="388"/>
      <c r="I64" s="116">
        <f>SUM(I58:I63)</f>
        <v>4689687.1100000003</v>
      </c>
      <c r="J64" s="109">
        <f>J62-J63</f>
        <v>-3479861.0799999982</v>
      </c>
      <c r="M64" s="109">
        <v>24416573.030000001</v>
      </c>
    </row>
    <row r="65" spans="1:13">
      <c r="I65" s="109">
        <v>7212797.6100000003</v>
      </c>
      <c r="M65" s="109">
        <v>24708913.030000001</v>
      </c>
    </row>
    <row r="66" spans="1:13">
      <c r="I66" s="109">
        <f>I64-I65</f>
        <v>-2523110.5</v>
      </c>
      <c r="M66" s="109">
        <f>M64-M65</f>
        <v>-292340</v>
      </c>
    </row>
    <row r="67" spans="1:13">
      <c r="I67" s="109"/>
      <c r="M67" s="109">
        <v>289860</v>
      </c>
    </row>
    <row r="68" spans="1:13">
      <c r="I68" s="109"/>
      <c r="J68" s="109">
        <v>25346381.800000001</v>
      </c>
      <c r="M68" s="173">
        <f>SUM(M66:M67)</f>
        <v>-2480</v>
      </c>
    </row>
    <row r="69" spans="1:13">
      <c r="I69" s="109"/>
      <c r="J69" s="109">
        <v>24042658.690000001</v>
      </c>
      <c r="M69" s="46"/>
    </row>
    <row r="70" spans="1:13">
      <c r="I70" s="109"/>
      <c r="J70" s="109">
        <f>J68-J69</f>
        <v>1303723.1099999994</v>
      </c>
      <c r="L70" s="109">
        <v>400000</v>
      </c>
      <c r="M70" s="46"/>
    </row>
    <row r="71" spans="1:13">
      <c r="I71" s="109"/>
      <c r="L71" s="109">
        <v>1000000</v>
      </c>
      <c r="M71" s="109">
        <v>25279.7</v>
      </c>
    </row>
    <row r="72" spans="1:13">
      <c r="I72" s="109"/>
      <c r="M72" s="109">
        <v>27759.7</v>
      </c>
    </row>
    <row r="73" spans="1:13">
      <c r="H73" s="109"/>
      <c r="I73" s="109"/>
      <c r="M73" s="173">
        <f>M71-M72</f>
        <v>-2480</v>
      </c>
    </row>
    <row r="74" spans="1:13">
      <c r="H74" s="109">
        <v>4455551.57</v>
      </c>
      <c r="I74" s="109"/>
      <c r="J74" s="109">
        <v>17496381.800000001</v>
      </c>
      <c r="M74" s="46"/>
    </row>
    <row r="75" spans="1:13">
      <c r="H75" s="109">
        <v>5760963.6399999997</v>
      </c>
      <c r="I75" s="109"/>
      <c r="J75" s="109">
        <v>7850000</v>
      </c>
      <c r="M75" s="46"/>
    </row>
    <row r="76" spans="1:13">
      <c r="H76" s="109">
        <f>SUM(H74:H75)</f>
        <v>10216515.210000001</v>
      </c>
      <c r="I76" s="109"/>
      <c r="J76" s="109">
        <f>SUM(J74:J75)</f>
        <v>25346381.800000001</v>
      </c>
      <c r="M76" s="46"/>
    </row>
    <row r="77" spans="1:13" s="109" customFormat="1">
      <c r="A77" s="46"/>
      <c r="B77" s="46"/>
      <c r="C77" s="46"/>
      <c r="D77" s="46"/>
      <c r="E77" s="46"/>
      <c r="F77" s="46"/>
      <c r="G77" s="46"/>
    </row>
    <row r="78" spans="1:13" s="109" customFormat="1">
      <c r="A78" s="46"/>
      <c r="B78" s="46"/>
      <c r="C78" s="46"/>
      <c r="D78" s="46"/>
      <c r="E78" s="46"/>
      <c r="F78" s="46"/>
      <c r="G78" s="46"/>
    </row>
    <row r="79" spans="1:13" s="109" customFormat="1">
      <c r="A79" s="46"/>
      <c r="B79" s="46"/>
      <c r="C79" s="46"/>
      <c r="D79" s="46"/>
      <c r="E79" s="46"/>
      <c r="F79" s="46"/>
      <c r="G79" s="46"/>
    </row>
    <row r="80" spans="1:13" s="109" customFormat="1">
      <c r="A80" s="46"/>
      <c r="B80" s="46"/>
      <c r="C80" s="46"/>
      <c r="D80" s="46"/>
      <c r="E80" s="46"/>
      <c r="F80" s="46"/>
      <c r="G80" s="46"/>
    </row>
    <row r="81" spans="1:11" s="109" customFormat="1">
      <c r="A81" s="46"/>
      <c r="B81" s="46"/>
      <c r="C81" s="46"/>
      <c r="D81" s="46"/>
      <c r="E81" s="46"/>
      <c r="F81" s="46"/>
      <c r="G81" s="46"/>
    </row>
    <row r="82" spans="1:11" s="109" customFormat="1">
      <c r="A82" s="46"/>
      <c r="B82" s="46"/>
      <c r="C82" s="46"/>
      <c r="D82" s="46"/>
      <c r="E82" s="46"/>
      <c r="F82" s="46"/>
      <c r="G82" s="46"/>
    </row>
    <row r="83" spans="1:11" s="109" customFormat="1">
      <c r="A83" s="46"/>
      <c r="B83" s="46"/>
      <c r="C83" s="46"/>
      <c r="D83" s="46"/>
      <c r="E83" s="46"/>
      <c r="F83" s="46"/>
      <c r="G83" s="46"/>
      <c r="H83" s="46"/>
    </row>
    <row r="84" spans="1:11" s="109" customFormat="1">
      <c r="A84" s="46"/>
      <c r="B84" s="46"/>
      <c r="C84" s="46"/>
      <c r="D84" s="46"/>
      <c r="E84" s="46"/>
      <c r="F84" s="46"/>
      <c r="G84" s="46"/>
      <c r="H84" s="46"/>
    </row>
    <row r="85" spans="1:11" s="109" customFormat="1">
      <c r="A85" s="46"/>
      <c r="B85" s="46"/>
      <c r="C85" s="46"/>
      <c r="D85" s="46"/>
      <c r="E85" s="46"/>
      <c r="F85" s="46"/>
      <c r="G85" s="46"/>
      <c r="H85" s="46"/>
    </row>
    <row r="86" spans="1:11" s="109" customFormat="1">
      <c r="A86" s="46"/>
      <c r="B86" s="46"/>
      <c r="C86" s="46"/>
      <c r="D86" s="46"/>
      <c r="E86" s="46"/>
      <c r="F86" s="46"/>
      <c r="G86" s="46"/>
      <c r="H86" s="46"/>
    </row>
    <row r="87" spans="1:11" s="109" customFormat="1">
      <c r="A87" s="46"/>
      <c r="B87" s="46"/>
      <c r="C87" s="46"/>
      <c r="D87" s="46"/>
      <c r="E87" s="46"/>
      <c r="F87" s="46"/>
      <c r="G87" s="46"/>
      <c r="H87" s="46"/>
      <c r="K87" s="46"/>
    </row>
    <row r="88" spans="1:11" s="109" customFormat="1">
      <c r="A88" s="46"/>
      <c r="B88" s="46"/>
      <c r="C88" s="46"/>
      <c r="D88" s="46"/>
      <c r="E88" s="46"/>
      <c r="F88" s="46"/>
      <c r="G88" s="46"/>
      <c r="H88" s="46"/>
      <c r="K88" s="46"/>
    </row>
    <row r="89" spans="1:11" s="109" customFormat="1">
      <c r="A89" s="46"/>
      <c r="B89" s="46"/>
      <c r="C89" s="46"/>
      <c r="D89" s="46"/>
      <c r="E89" s="46"/>
      <c r="F89" s="46"/>
      <c r="G89" s="46"/>
      <c r="H89" s="46"/>
      <c r="K89" s="46"/>
    </row>
    <row r="90" spans="1:11" s="109" customFormat="1">
      <c r="A90" s="46"/>
      <c r="B90" s="46"/>
      <c r="C90" s="46"/>
      <c r="D90" s="46"/>
      <c r="E90" s="46"/>
      <c r="F90" s="46"/>
      <c r="G90" s="46"/>
      <c r="H90" s="46"/>
      <c r="K90" s="46"/>
    </row>
    <row r="91" spans="1:11" s="109" customFormat="1">
      <c r="A91" s="46"/>
      <c r="B91" s="46"/>
      <c r="C91" s="46"/>
      <c r="D91" s="46"/>
      <c r="E91" s="46"/>
      <c r="F91" s="46"/>
      <c r="G91" s="46"/>
      <c r="H91" s="46"/>
      <c r="K91" s="46"/>
    </row>
    <row r="92" spans="1:11" s="109" customFormat="1">
      <c r="A92" s="46"/>
      <c r="B92" s="46"/>
      <c r="C92" s="46"/>
      <c r="D92" s="46"/>
      <c r="E92" s="46"/>
      <c r="F92" s="46"/>
      <c r="G92" s="46"/>
      <c r="H92" s="46"/>
      <c r="K92" s="46"/>
    </row>
    <row r="93" spans="1:11" s="109" customFormat="1">
      <c r="A93" s="46"/>
      <c r="B93" s="46"/>
      <c r="C93" s="46"/>
      <c r="D93" s="46"/>
      <c r="E93" s="46"/>
      <c r="F93" s="46"/>
      <c r="G93" s="46"/>
      <c r="H93" s="46"/>
      <c r="K93" s="46"/>
    </row>
    <row r="94" spans="1:11" s="109" customFormat="1">
      <c r="A94" s="46"/>
      <c r="B94" s="46"/>
      <c r="C94" s="46"/>
      <c r="D94" s="46"/>
      <c r="E94" s="46"/>
      <c r="F94" s="46"/>
      <c r="G94" s="46"/>
      <c r="H94" s="46"/>
      <c r="K94" s="46"/>
    </row>
    <row r="95" spans="1:11" s="109" customFormat="1">
      <c r="A95" s="46"/>
      <c r="B95" s="46"/>
      <c r="C95" s="46"/>
      <c r="D95" s="46"/>
      <c r="E95" s="46"/>
      <c r="F95" s="46"/>
      <c r="G95" s="46"/>
      <c r="H95" s="46"/>
      <c r="K95" s="46"/>
    </row>
    <row r="96" spans="1:11" s="109" customFormat="1">
      <c r="A96" s="46"/>
      <c r="B96" s="46"/>
      <c r="C96" s="46"/>
      <c r="D96" s="46"/>
      <c r="E96" s="46"/>
      <c r="F96" s="46"/>
      <c r="G96" s="46"/>
      <c r="H96" s="46"/>
      <c r="K96" s="46"/>
    </row>
    <row r="97" spans="1:11" s="109" customFormat="1">
      <c r="A97" s="46"/>
      <c r="B97" s="46"/>
      <c r="C97" s="46"/>
      <c r="D97" s="46"/>
      <c r="E97" s="46"/>
      <c r="F97" s="46"/>
      <c r="G97" s="46"/>
      <c r="H97" s="46"/>
      <c r="K97" s="46"/>
    </row>
    <row r="98" spans="1:11" s="109" customFormat="1">
      <c r="A98" s="46"/>
      <c r="B98" s="46"/>
      <c r="C98" s="46"/>
      <c r="D98" s="46"/>
      <c r="E98" s="46"/>
      <c r="F98" s="46"/>
      <c r="G98" s="46"/>
      <c r="H98" s="46"/>
      <c r="K98" s="46"/>
    </row>
    <row r="99" spans="1:11" s="109" customFormat="1">
      <c r="A99" s="46"/>
      <c r="B99" s="46"/>
      <c r="C99" s="46"/>
      <c r="D99" s="46"/>
      <c r="E99" s="46"/>
      <c r="F99" s="46"/>
      <c r="G99" s="46"/>
      <c r="H99" s="46"/>
      <c r="K99" s="46"/>
    </row>
  </sheetData>
  <mergeCells count="8">
    <mergeCell ref="B63:C63"/>
    <mergeCell ref="B64:C64"/>
    <mergeCell ref="A2:J2"/>
    <mergeCell ref="A3:J3"/>
    <mergeCell ref="A4:J4"/>
    <mergeCell ref="B60:C60"/>
    <mergeCell ref="B61:C61"/>
    <mergeCell ref="B62:C62"/>
  </mergeCells>
  <printOptions horizontalCentered="1"/>
  <pageMargins left="0.02" right="0.15" top="0.39" bottom="0.1" header="0.21" footer="0.1"/>
  <pageSetup scale="84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56</vt:i4>
      </vt:variant>
      <vt:variant>
        <vt:lpstr>Named Ranges</vt:lpstr>
      </vt:variant>
      <vt:variant>
        <vt:i4>52</vt:i4>
      </vt:variant>
    </vt:vector>
  </HeadingPairs>
  <TitlesOfParts>
    <vt:vector size="108" baseType="lpstr">
      <vt:lpstr>DRRM Funds -Mam Gina'17 </vt:lpstr>
      <vt:lpstr>DRRM Funds -Mar'17</vt:lpstr>
      <vt:lpstr>DRRM Funds -Feb'17 </vt:lpstr>
      <vt:lpstr>DRRM Funds -Jan'17</vt:lpstr>
      <vt:lpstr>Summary'16</vt:lpstr>
      <vt:lpstr>FY 2016 </vt:lpstr>
      <vt:lpstr>FY 2017</vt:lpstr>
      <vt:lpstr>DRRM Funds -Dec'16Mam Gina</vt:lpstr>
      <vt:lpstr>DRRM Funds -Dec'16</vt:lpstr>
      <vt:lpstr>DRRM Funds -Nov'16</vt:lpstr>
      <vt:lpstr>DRRM Funds -Oct'16</vt:lpstr>
      <vt:lpstr>DRRM Funds MamGina-sept</vt:lpstr>
      <vt:lpstr>DRRM Funds Sept2016</vt:lpstr>
      <vt:lpstr>DRRM Funds Aug 2016</vt:lpstr>
      <vt:lpstr>DRRM Funds July 2016</vt:lpstr>
      <vt:lpstr>DRRM Funds JuneMam Gina</vt:lpstr>
      <vt:lpstr>DRRM Funds June 2016 </vt:lpstr>
      <vt:lpstr>DRRM Funds May2016</vt:lpstr>
      <vt:lpstr>DRRM Funds Apr'2016</vt:lpstr>
      <vt:lpstr>DRRM-MamGina- MAR'2016DILG</vt:lpstr>
      <vt:lpstr>DRRM Funds MAR'2016 </vt:lpstr>
      <vt:lpstr>DRRM Funds FEB'2016 </vt:lpstr>
      <vt:lpstr>DRRM Funds JAN'2016</vt:lpstr>
      <vt:lpstr>DRRM Funds Dec'2015COA</vt:lpstr>
      <vt:lpstr>DRRM Funds Dec'2015DILG</vt:lpstr>
      <vt:lpstr>DRRM Funds Dec'2015</vt:lpstr>
      <vt:lpstr>DRRM Funds Nov'2015</vt:lpstr>
      <vt:lpstr>DRRM Funds Oct2015</vt:lpstr>
      <vt:lpstr>SUMMARY</vt:lpstr>
      <vt:lpstr>DRRM Funds Sept2015DILG</vt:lpstr>
      <vt:lpstr>DRRM Funds Sept2015</vt:lpstr>
      <vt:lpstr>DRRM Funds Aug2015</vt:lpstr>
      <vt:lpstr>DRRM Funds July2015</vt:lpstr>
      <vt:lpstr>DRRM Funds June2015 Rev</vt:lpstr>
      <vt:lpstr>DRRM Funds May2015 Rev </vt:lpstr>
      <vt:lpstr>DRRM Funds Apr2015 Rev</vt:lpstr>
      <vt:lpstr>DRRM Funds Mar2015 Rev</vt:lpstr>
      <vt:lpstr>DRRM Funds Feb 2015 Rev</vt:lpstr>
      <vt:lpstr>DRRM Funds January 2015</vt:lpstr>
      <vt:lpstr> Receipts &amp; Utilization2014</vt:lpstr>
      <vt:lpstr>DRRM Funds Dec 2014</vt:lpstr>
      <vt:lpstr>DRRM Funds Nov 2014  </vt:lpstr>
      <vt:lpstr>DRRM Funds Oct 2014 </vt:lpstr>
      <vt:lpstr>DRRM Funds Sept 2014</vt:lpstr>
      <vt:lpstr>DRRM Funds Aug 2014 -final</vt:lpstr>
      <vt:lpstr>DRRM Funds Aug 2014</vt:lpstr>
      <vt:lpstr>LDRRM Funds 2013</vt:lpstr>
      <vt:lpstr>DRRM Funds July 2014 </vt:lpstr>
      <vt:lpstr>DRRM Funds June 2014</vt:lpstr>
      <vt:lpstr>DRRM Funds May 2014 </vt:lpstr>
      <vt:lpstr>DRRM Funds April 2014</vt:lpstr>
      <vt:lpstr>DRRM Funds March 2014 </vt:lpstr>
      <vt:lpstr>DRRM Funds Feb 2014 </vt:lpstr>
      <vt:lpstr>DRRM Funds Jan 2014</vt:lpstr>
      <vt:lpstr>Fund Investment plan</vt:lpstr>
      <vt:lpstr> Receipts &amp; Utilization2013</vt:lpstr>
      <vt:lpstr>' Receipts &amp; Utilization2013'!Print_Area</vt:lpstr>
      <vt:lpstr>' Receipts &amp; Utilization2014'!Print_Area</vt:lpstr>
      <vt:lpstr>'DRRM Funds Apr2015 Rev'!Print_Area</vt:lpstr>
      <vt:lpstr>'DRRM Funds Apr''2016'!Print_Area</vt:lpstr>
      <vt:lpstr>'DRRM Funds April 2014'!Print_Area</vt:lpstr>
      <vt:lpstr>'DRRM Funds Aug 2014'!Print_Area</vt:lpstr>
      <vt:lpstr>'DRRM Funds Aug 2014 -final'!Print_Area</vt:lpstr>
      <vt:lpstr>'DRRM Funds Aug 2016'!Print_Area</vt:lpstr>
      <vt:lpstr>'DRRM Funds Aug2015'!Print_Area</vt:lpstr>
      <vt:lpstr>'DRRM Funds Dec 2014'!Print_Area</vt:lpstr>
      <vt:lpstr>'DRRM Funds -Dec''16'!Print_Area</vt:lpstr>
      <vt:lpstr>'DRRM Funds -Dec''16Mam Gina'!Print_Area</vt:lpstr>
      <vt:lpstr>'DRRM Funds Dec''2015'!Print_Area</vt:lpstr>
      <vt:lpstr>'DRRM Funds Dec''2015COA'!Print_Area</vt:lpstr>
      <vt:lpstr>'DRRM Funds Dec''2015DILG'!Print_Area</vt:lpstr>
      <vt:lpstr>'DRRM Funds Feb 2014 '!Print_Area</vt:lpstr>
      <vt:lpstr>'DRRM Funds Feb 2015 Rev'!Print_Area</vt:lpstr>
      <vt:lpstr>'DRRM Funds -Feb''17 '!Print_Area</vt:lpstr>
      <vt:lpstr>'DRRM Funds FEB''2016 '!Print_Area</vt:lpstr>
      <vt:lpstr>'DRRM Funds Jan 2014'!Print_Area</vt:lpstr>
      <vt:lpstr>'DRRM Funds -Jan''17'!Print_Area</vt:lpstr>
      <vt:lpstr>'DRRM Funds JAN''2016'!Print_Area</vt:lpstr>
      <vt:lpstr>'DRRM Funds January 2015'!Print_Area</vt:lpstr>
      <vt:lpstr>'DRRM Funds July 2014 '!Print_Area</vt:lpstr>
      <vt:lpstr>'DRRM Funds July 2016'!Print_Area</vt:lpstr>
      <vt:lpstr>'DRRM Funds July2015'!Print_Area</vt:lpstr>
      <vt:lpstr>'DRRM Funds June 2014'!Print_Area</vt:lpstr>
      <vt:lpstr>'DRRM Funds June 2016 '!Print_Area</vt:lpstr>
      <vt:lpstr>'DRRM Funds June2015 Rev'!Print_Area</vt:lpstr>
      <vt:lpstr>'DRRM Funds JuneMam Gina'!Print_Area</vt:lpstr>
      <vt:lpstr>'DRRM Funds -Mam Gina''17 '!Print_Area</vt:lpstr>
      <vt:lpstr>'DRRM Funds MamGina-sept'!Print_Area</vt:lpstr>
      <vt:lpstr>'DRRM Funds -Mar''17'!Print_Area</vt:lpstr>
      <vt:lpstr>'DRRM Funds Mar2015 Rev'!Print_Area</vt:lpstr>
      <vt:lpstr>'DRRM Funds MAR''2016 '!Print_Area</vt:lpstr>
      <vt:lpstr>'DRRM Funds March 2014 '!Print_Area</vt:lpstr>
      <vt:lpstr>'DRRM Funds May 2014 '!Print_Area</vt:lpstr>
      <vt:lpstr>'DRRM Funds May2015 Rev '!Print_Area</vt:lpstr>
      <vt:lpstr>'DRRM Funds May2016'!Print_Area</vt:lpstr>
      <vt:lpstr>'DRRM Funds Nov 2014  '!Print_Area</vt:lpstr>
      <vt:lpstr>'DRRM Funds -Nov''16'!Print_Area</vt:lpstr>
      <vt:lpstr>'DRRM Funds Nov''2015'!Print_Area</vt:lpstr>
      <vt:lpstr>'DRRM Funds Oct 2014 '!Print_Area</vt:lpstr>
      <vt:lpstr>'DRRM Funds -Oct''16'!Print_Area</vt:lpstr>
      <vt:lpstr>'DRRM Funds Oct2015'!Print_Area</vt:lpstr>
      <vt:lpstr>'DRRM Funds Sept 2014'!Print_Area</vt:lpstr>
      <vt:lpstr>'DRRM Funds Sept2015'!Print_Area</vt:lpstr>
      <vt:lpstr>'DRRM Funds Sept2015DILG'!Print_Area</vt:lpstr>
      <vt:lpstr>'DRRM Funds Sept2016'!Print_Area</vt:lpstr>
      <vt:lpstr>'DRRM-MamGina- MAR''2016DILG'!Print_Area</vt:lpstr>
      <vt:lpstr>'Fund Investment plan'!Print_Area</vt:lpstr>
      <vt:lpstr>'LDRRM Funds 2013'!Print_Area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accounting</dc:creator>
  <cp:lastModifiedBy>raquelkeng</cp:lastModifiedBy>
  <cp:lastPrinted>2017-05-03T08:58:12Z</cp:lastPrinted>
  <dcterms:created xsi:type="dcterms:W3CDTF">2013-09-17T00:38:49Z</dcterms:created>
  <dcterms:modified xsi:type="dcterms:W3CDTF">2017-05-05T04:42:58Z</dcterms:modified>
</cp:coreProperties>
</file>